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Pavimentação'!$A$1:$J$19</definedName>
    <definedName name="_xlnm.Print_Area" localSheetId="9">'9 - Calçadas'!$A$1:$I$13</definedName>
    <definedName name="_xlnm.Print_Area" localSheetId="12">BDI!$A$1:$I$48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J82" i="17" l="1"/>
  <c r="J81" i="17"/>
  <c r="J80" i="17"/>
  <c r="J79" i="17"/>
  <c r="Y7" i="17" l="1"/>
  <c r="E4" i="16"/>
  <c r="E5" i="16"/>
  <c r="E6" i="16"/>
  <c r="E3" i="16"/>
  <c r="M4" i="2"/>
  <c r="M5" i="2"/>
  <c r="M6" i="2"/>
  <c r="M3" i="2"/>
  <c r="I4" i="7"/>
  <c r="I5" i="7"/>
  <c r="I6" i="7"/>
  <c r="I3" i="7"/>
  <c r="I4" i="15"/>
  <c r="I5" i="15"/>
  <c r="I6" i="15"/>
  <c r="I3" i="15"/>
  <c r="G4" i="5"/>
  <c r="G5" i="5"/>
  <c r="G6" i="5"/>
  <c r="G3" i="5"/>
  <c r="I4" i="9"/>
  <c r="I5" i="9"/>
  <c r="I6" i="9"/>
  <c r="I3" i="9"/>
  <c r="I4" i="10"/>
  <c r="I5" i="10"/>
  <c r="I6" i="10"/>
  <c r="I3" i="10"/>
  <c r="H4" i="11"/>
  <c r="H5" i="11"/>
  <c r="H6" i="11"/>
  <c r="H3" i="11"/>
  <c r="L4" i="12"/>
  <c r="L5" i="12"/>
  <c r="L6" i="12"/>
  <c r="L3" i="12"/>
  <c r="J4" i="13"/>
  <c r="J5" i="13"/>
  <c r="J6" i="13"/>
  <c r="J3" i="13"/>
  <c r="O4" i="14"/>
  <c r="O5" i="14"/>
  <c r="O6" i="14"/>
  <c r="O3" i="14"/>
  <c r="K4" i="8"/>
  <c r="K5" i="8"/>
  <c r="K6" i="8"/>
  <c r="K3" i="8"/>
  <c r="N4" i="4"/>
  <c r="N5" i="4"/>
  <c r="N6" i="4"/>
  <c r="N3" i="4"/>
  <c r="J4" i="3"/>
  <c r="J5" i="3"/>
  <c r="J6" i="3"/>
  <c r="J3" i="3"/>
  <c r="J17" i="13" l="1"/>
  <c r="J16" i="13"/>
  <c r="J15" i="13"/>
  <c r="J14" i="13"/>
  <c r="J11" i="13"/>
  <c r="J10" i="13"/>
  <c r="E42" i="1" l="1"/>
  <c r="E43" i="1"/>
  <c r="E44" i="1"/>
  <c r="E45" i="1"/>
  <c r="E39" i="1"/>
  <c r="L9" i="12" l="1"/>
  <c r="L10" i="12"/>
  <c r="L11" i="12"/>
  <c r="L12" i="12"/>
  <c r="L13" i="12"/>
  <c r="L8" i="12"/>
  <c r="J9" i="13"/>
  <c r="E38" i="1" s="1"/>
  <c r="O13" i="14"/>
  <c r="E32" i="1" s="1"/>
  <c r="O12" i="14"/>
  <c r="O11" i="14"/>
  <c r="K14" i="8"/>
  <c r="E19" i="1" s="1"/>
  <c r="K13" i="8"/>
  <c r="E18" i="1" s="1"/>
  <c r="K12" i="8"/>
  <c r="E17" i="1" s="1"/>
  <c r="K11" i="8"/>
  <c r="E16" i="1" s="1"/>
  <c r="E14" i="1"/>
  <c r="E15" i="1"/>
  <c r="E20" i="1"/>
  <c r="E21" i="1"/>
  <c r="E22" i="1"/>
  <c r="E23" i="1"/>
  <c r="E24" i="1"/>
  <c r="E25" i="1"/>
  <c r="E13" i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L175" i="17"/>
  <c r="L292" i="17" l="1"/>
  <c r="L293" i="17" s="1"/>
  <c r="L288" i="17"/>
  <c r="L287" i="17"/>
  <c r="L286" i="17"/>
  <c r="L284" i="17"/>
  <c r="L283" i="17"/>
  <c r="L279" i="17"/>
  <c r="L278" i="17"/>
  <c r="L274" i="17"/>
  <c r="L273" i="17"/>
  <c r="L272" i="17"/>
  <c r="L271" i="17"/>
  <c r="L269" i="17"/>
  <c r="L268" i="17"/>
  <c r="L267" i="17"/>
  <c r="L266" i="17"/>
  <c r="L255" i="17"/>
  <c r="L248" i="17"/>
  <c r="L247" i="17"/>
  <c r="L246" i="17"/>
  <c r="L245" i="17"/>
  <c r="L243" i="17"/>
  <c r="L242" i="17"/>
  <c r="L241" i="17"/>
  <c r="L240" i="17"/>
  <c r="L239" i="17"/>
  <c r="L225" i="17"/>
  <c r="L226" i="17" s="1"/>
  <c r="L221" i="17"/>
  <c r="L220" i="17"/>
  <c r="L219" i="17"/>
  <c r="L217" i="17"/>
  <c r="L216" i="17"/>
  <c r="L207" i="17"/>
  <c r="L206" i="17"/>
  <c r="L205" i="17"/>
  <c r="L204" i="17"/>
  <c r="L200" i="17"/>
  <c r="L199" i="17"/>
  <c r="L198" i="17"/>
  <c r="L196" i="17"/>
  <c r="L195" i="17"/>
  <c r="L194" i="17"/>
  <c r="L193" i="17"/>
  <c r="L190" i="17"/>
  <c r="L189" i="17"/>
  <c r="L188" i="17"/>
  <c r="L184" i="17"/>
  <c r="L183" i="17"/>
  <c r="L182" i="17"/>
  <c r="L181" i="17"/>
  <c r="L179" i="17"/>
  <c r="L178" i="17"/>
  <c r="L177" i="17"/>
  <c r="L176" i="17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3" i="17"/>
  <c r="L112" i="17"/>
  <c r="L111" i="17"/>
  <c r="L110" i="17"/>
  <c r="L109" i="17"/>
  <c r="L95" i="17"/>
  <c r="L96" i="17" s="1"/>
  <c r="L91" i="17"/>
  <c r="L90" i="17"/>
  <c r="L89" i="17"/>
  <c r="L87" i="17"/>
  <c r="L86" i="17"/>
  <c r="L82" i="17"/>
  <c r="L81" i="17"/>
  <c r="L80" i="17"/>
  <c r="L79" i="17"/>
  <c r="L77" i="17"/>
  <c r="L76" i="17"/>
  <c r="L75" i="17"/>
  <c r="L74" i="17"/>
  <c r="L70" i="17"/>
  <c r="L69" i="17"/>
  <c r="Y68" i="17"/>
  <c r="Y70" i="17" s="1"/>
  <c r="L68" i="17"/>
  <c r="Y66" i="17"/>
  <c r="L66" i="17"/>
  <c r="Y65" i="17"/>
  <c r="L65" i="17"/>
  <c r="L64" i="17"/>
  <c r="L63" i="17"/>
  <c r="L60" i="17"/>
  <c r="L59" i="17"/>
  <c r="L58" i="17"/>
  <c r="Y55" i="17"/>
  <c r="Y57" i="17" s="1"/>
  <c r="L54" i="17"/>
  <c r="Y53" i="17"/>
  <c r="L53" i="17"/>
  <c r="Y52" i="17"/>
  <c r="L52" i="17"/>
  <c r="L51" i="17"/>
  <c r="L49" i="17"/>
  <c r="L48" i="17"/>
  <c r="L47" i="17"/>
  <c r="L46" i="17"/>
  <c r="L45" i="17"/>
  <c r="Y42" i="17"/>
  <c r="Y44" i="17" s="1"/>
  <c r="Y40" i="17"/>
  <c r="Y39" i="17"/>
  <c r="Y31" i="17"/>
  <c r="Y33" i="17" s="1"/>
  <c r="L31" i="17"/>
  <c r="L32" i="17" s="1"/>
  <c r="Y29" i="17"/>
  <c r="Y28" i="17"/>
  <c r="L27" i="17"/>
  <c r="L26" i="17"/>
  <c r="L25" i="17"/>
  <c r="L23" i="17"/>
  <c r="L22" i="17"/>
  <c r="Y19" i="17"/>
  <c r="Y21" i="17" s="1"/>
  <c r="L19" i="17"/>
  <c r="L18" i="17"/>
  <c r="Y17" i="17"/>
  <c r="L17" i="17"/>
  <c r="Y16" i="17"/>
  <c r="L13" i="17"/>
  <c r="L12" i="17"/>
  <c r="L11" i="17"/>
  <c r="L10" i="17"/>
  <c r="L8" i="17"/>
  <c r="Y9" i="17"/>
  <c r="L7" i="17"/>
  <c r="L6" i="17"/>
  <c r="Y5" i="17"/>
  <c r="L5" i="17"/>
  <c r="Y4" i="17"/>
  <c r="L4" i="17"/>
  <c r="L197" i="17" l="1"/>
  <c r="L201" i="17"/>
  <c r="L119" i="17"/>
  <c r="L120" i="17" s="1"/>
  <c r="L121" i="17" s="1"/>
  <c r="L114" i="17"/>
  <c r="Y6" i="17"/>
  <c r="Y10" i="17" s="1"/>
  <c r="Y11" i="17" s="1"/>
  <c r="J35" i="17" s="1"/>
  <c r="L35" i="17" s="1"/>
  <c r="L222" i="17"/>
  <c r="L281" i="17"/>
  <c r="L249" i="17"/>
  <c r="L28" i="17"/>
  <c r="Y54" i="17"/>
  <c r="Y58" i="17" s="1"/>
  <c r="Y59" i="17" s="1"/>
  <c r="L67" i="17"/>
  <c r="L92" i="17"/>
  <c r="L140" i="17"/>
  <c r="L145" i="17"/>
  <c r="L180" i="17"/>
  <c r="L185" i="17"/>
  <c r="L191" i="17"/>
  <c r="L289" i="17"/>
  <c r="L14" i="17"/>
  <c r="Y30" i="17"/>
  <c r="Y34" i="17" s="1"/>
  <c r="Y35" i="17" s="1"/>
  <c r="L61" i="17"/>
  <c r="L285" i="17"/>
  <c r="L218" i="17"/>
  <c r="L223" i="17" s="1"/>
  <c r="L224" i="17" s="1"/>
  <c r="L228" i="17" s="1"/>
  <c r="J215" i="17" s="1"/>
  <c r="L215" i="17" s="1"/>
  <c r="L55" i="17"/>
  <c r="L71" i="17"/>
  <c r="L88" i="17"/>
  <c r="L151" i="17"/>
  <c r="L159" i="17"/>
  <c r="L270" i="17"/>
  <c r="L275" i="17"/>
  <c r="L20" i="17"/>
  <c r="L24" i="17"/>
  <c r="Y41" i="17"/>
  <c r="Y45" i="17" s="1"/>
  <c r="Y46" i="17" s="1"/>
  <c r="Y67" i="17"/>
  <c r="Y71" i="17" s="1"/>
  <c r="Y72" i="17" s="1"/>
  <c r="J212" i="17" s="1"/>
  <c r="L212" i="17" s="1"/>
  <c r="L78" i="17"/>
  <c r="L155" i="17"/>
  <c r="L208" i="17"/>
  <c r="L244" i="17"/>
  <c r="L50" i="17"/>
  <c r="L9" i="17"/>
  <c r="Y18" i="17"/>
  <c r="Y22" i="17" s="1"/>
  <c r="Y23" i="17" s="1"/>
  <c r="L83" i="17"/>
  <c r="L146" i="17"/>
  <c r="L147" i="17" s="1"/>
  <c r="L250" i="17" l="1"/>
  <c r="L251" i="17" s="1"/>
  <c r="L202" i="17"/>
  <c r="L203" i="17" s="1"/>
  <c r="L93" i="17"/>
  <c r="L94" i="17" s="1"/>
  <c r="L98" i="17" s="1"/>
  <c r="J85" i="17" s="1"/>
  <c r="L85" i="17" s="1"/>
  <c r="L186" i="17"/>
  <c r="L187" i="17" s="1"/>
  <c r="J296" i="17"/>
  <c r="L296" i="17" s="1"/>
  <c r="L72" i="17"/>
  <c r="L73" i="17" s="1"/>
  <c r="L84" i="17" s="1"/>
  <c r="J62" i="17" s="1"/>
  <c r="L62" i="17" s="1"/>
  <c r="J166" i="17"/>
  <c r="L166" i="17" s="1"/>
  <c r="L276" i="17"/>
  <c r="L277" i="17" s="1"/>
  <c r="L29" i="17"/>
  <c r="L30" i="17" s="1"/>
  <c r="L15" i="17"/>
  <c r="L16" i="17" s="1"/>
  <c r="L290" i="17"/>
  <c r="L291" i="17" s="1"/>
  <c r="L160" i="17"/>
  <c r="L161" i="17" s="1"/>
  <c r="L56" i="17"/>
  <c r="L57" i="17" s="1"/>
  <c r="J294" i="17"/>
  <c r="L294" i="17" s="1"/>
  <c r="J33" i="17"/>
  <c r="L33" i="17" s="1"/>
  <c r="J164" i="17"/>
  <c r="L164" i="17" s="1"/>
  <c r="J257" i="17"/>
  <c r="L257" i="17" s="1"/>
  <c r="L260" i="17" s="1"/>
  <c r="J229" i="17"/>
  <c r="L229" i="17" s="1"/>
  <c r="J100" i="17"/>
  <c r="L100" i="17" s="1"/>
  <c r="J36" i="17"/>
  <c r="L36" i="17" s="1"/>
  <c r="J230" i="17"/>
  <c r="L230" i="17" s="1"/>
  <c r="J167" i="17"/>
  <c r="L167" i="17" s="1"/>
  <c r="J297" i="17"/>
  <c r="L297" i="17" s="1"/>
  <c r="J127" i="17"/>
  <c r="L127" i="17" s="1"/>
  <c r="L130" i="17" s="1"/>
  <c r="J99" i="17"/>
  <c r="L99" i="17" s="1"/>
  <c r="J37" i="17"/>
  <c r="L37" i="17" s="1"/>
  <c r="J211" i="17"/>
  <c r="L211" i="17" s="1"/>
  <c r="J209" i="17"/>
  <c r="L209" i="17" s="1"/>
  <c r="J210" i="17"/>
  <c r="L210" i="17" s="1"/>
  <c r="J231" i="17"/>
  <c r="L231" i="17" s="1"/>
  <c r="J101" i="17"/>
  <c r="L101" i="17" s="1"/>
  <c r="L38" i="17" l="1"/>
  <c r="L298" i="17"/>
  <c r="L168" i="17"/>
  <c r="L165" i="17"/>
  <c r="J152" i="17" s="1"/>
  <c r="L152" i="17" s="1"/>
  <c r="L34" i="17"/>
  <c r="J21" i="17" s="1"/>
  <c r="L21" i="17" s="1"/>
  <c r="L39" i="17" s="1"/>
  <c r="F176" i="1" s="1"/>
  <c r="L295" i="17"/>
  <c r="J282" i="17" s="1"/>
  <c r="L282" i="17" s="1"/>
  <c r="L299" i="17" s="1"/>
  <c r="J256" i="17" s="1"/>
  <c r="L256" i="17" s="1"/>
  <c r="L261" i="17" s="1"/>
  <c r="F180" i="1" s="1"/>
  <c r="L213" i="17"/>
  <c r="L214" i="17" s="1"/>
  <c r="J192" i="17" s="1"/>
  <c r="L192" i="17" s="1"/>
  <c r="L102" i="17"/>
  <c r="L103" i="17" s="1"/>
  <c r="F177" i="1" s="1"/>
  <c r="L232" i="17"/>
  <c r="L169" i="17" l="1"/>
  <c r="J126" i="17" s="1"/>
  <c r="L126" i="17" s="1"/>
  <c r="L131" i="17" s="1"/>
  <c r="F178" i="1" s="1"/>
  <c r="L233" i="17"/>
  <c r="F179" i="1" s="1"/>
  <c r="K19" i="8"/>
  <c r="K8" i="8" l="1"/>
  <c r="I21" i="12" l="1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E52" i="1"/>
  <c r="E53" i="1"/>
  <c r="J8" i="13" l="1"/>
  <c r="E37" i="1" s="1"/>
  <c r="B11" i="2" l="1"/>
  <c r="B31" i="2"/>
  <c r="B29" i="2"/>
  <c r="B27" i="2"/>
  <c r="B25" i="2"/>
  <c r="B23" i="2"/>
  <c r="B21" i="2"/>
  <c r="B19" i="2"/>
  <c r="B17" i="2"/>
  <c r="B15" i="2"/>
  <c r="B13" i="2"/>
  <c r="G9" i="5"/>
  <c r="E173" i="1" s="1"/>
  <c r="G8" i="5"/>
  <c r="E172" i="1" s="1"/>
  <c r="O10" i="14" l="1"/>
  <c r="O9" i="14"/>
  <c r="K18" i="8" l="1"/>
  <c r="K17" i="8"/>
  <c r="K16" i="8"/>
  <c r="K15" i="8"/>
  <c r="K20" i="8"/>
  <c r="K10" i="8"/>
  <c r="J13" i="13" l="1"/>
  <c r="E41" i="1" s="1"/>
  <c r="J18" i="13"/>
  <c r="E46" i="1" s="1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I12" i="9"/>
  <c r="E170" i="1" s="1"/>
  <c r="I11" i="9"/>
  <c r="E169" i="1" s="1"/>
  <c r="I10" i="9"/>
  <c r="E168" i="1" s="1"/>
  <c r="I9" i="9"/>
  <c r="E167" i="1" s="1"/>
  <c r="I8" i="9"/>
  <c r="E166" i="1" s="1"/>
  <c r="I91" i="10"/>
  <c r="E164" i="1" s="1"/>
  <c r="I88" i="10"/>
  <c r="E161" i="1" s="1"/>
  <c r="I79" i="10"/>
  <c r="E152" i="1" s="1"/>
  <c r="I80" i="10"/>
  <c r="E153" i="1" s="1"/>
  <c r="I81" i="10"/>
  <c r="E154" i="1" s="1"/>
  <c r="I82" i="10"/>
  <c r="E155" i="1" s="1"/>
  <c r="I83" i="10"/>
  <c r="E156" i="1" s="1"/>
  <c r="I84" i="10"/>
  <c r="E157" i="1" s="1"/>
  <c r="I85" i="10"/>
  <c r="E158" i="1" s="1"/>
  <c r="I86" i="10"/>
  <c r="E159" i="1" s="1"/>
  <c r="I87" i="10"/>
  <c r="E160" i="1" s="1"/>
  <c r="I89" i="10"/>
  <c r="E162" i="1" s="1"/>
  <c r="I73" i="10"/>
  <c r="E146" i="1" s="1"/>
  <c r="I74" i="10"/>
  <c r="E147" i="1" s="1"/>
  <c r="I75" i="10"/>
  <c r="E148" i="1" s="1"/>
  <c r="I76" i="10"/>
  <c r="E149" i="1" s="1"/>
  <c r="I77" i="10"/>
  <c r="E150" i="1" s="1"/>
  <c r="I72" i="10"/>
  <c r="E145" i="1" s="1"/>
  <c r="I58" i="10"/>
  <c r="E131" i="1" s="1"/>
  <c r="I59" i="10"/>
  <c r="E132" i="1" s="1"/>
  <c r="I60" i="10"/>
  <c r="E133" i="1" s="1"/>
  <c r="I61" i="10"/>
  <c r="E134" i="1" s="1"/>
  <c r="I62" i="10"/>
  <c r="E135" i="1" s="1"/>
  <c r="I63" i="10"/>
  <c r="E136" i="1" s="1"/>
  <c r="I64" i="10"/>
  <c r="E137" i="1" s="1"/>
  <c r="I65" i="10"/>
  <c r="E138" i="1" s="1"/>
  <c r="I66" i="10"/>
  <c r="E139" i="1" s="1"/>
  <c r="I67" i="10"/>
  <c r="E140" i="1" s="1"/>
  <c r="I68" i="10"/>
  <c r="E141" i="1" s="1"/>
  <c r="I69" i="10"/>
  <c r="E142" i="1" s="1"/>
  <c r="I70" i="10"/>
  <c r="E143" i="1" s="1"/>
  <c r="I57" i="10"/>
  <c r="E130" i="1" s="1"/>
  <c r="I41" i="10"/>
  <c r="E114" i="1" s="1"/>
  <c r="I42" i="10"/>
  <c r="E115" i="1" s="1"/>
  <c r="I43" i="10"/>
  <c r="E116" i="1" s="1"/>
  <c r="I44" i="10"/>
  <c r="E117" i="1" s="1"/>
  <c r="I45" i="10"/>
  <c r="E118" i="1" s="1"/>
  <c r="I46" i="10"/>
  <c r="E119" i="1" s="1"/>
  <c r="I47" i="10"/>
  <c r="E120" i="1" s="1"/>
  <c r="I48" i="10"/>
  <c r="E121" i="1" s="1"/>
  <c r="I49" i="10"/>
  <c r="E122" i="1" s="1"/>
  <c r="I50" i="10"/>
  <c r="E123" i="1" s="1"/>
  <c r="I51" i="10"/>
  <c r="E124" i="1" s="1"/>
  <c r="I52" i="10"/>
  <c r="E125" i="1" s="1"/>
  <c r="I53" i="10"/>
  <c r="E126" i="1" s="1"/>
  <c r="I54" i="10"/>
  <c r="E127" i="1" s="1"/>
  <c r="I55" i="10"/>
  <c r="E128" i="1" s="1"/>
  <c r="I40" i="10"/>
  <c r="E113" i="1" s="1"/>
  <c r="I36" i="10"/>
  <c r="E109" i="1" s="1"/>
  <c r="I37" i="10"/>
  <c r="E110" i="1" s="1"/>
  <c r="I38" i="10"/>
  <c r="E111" i="1" s="1"/>
  <c r="I35" i="10"/>
  <c r="E108" i="1" s="1"/>
  <c r="I19" i="10"/>
  <c r="E92" i="1" s="1"/>
  <c r="I20" i="10"/>
  <c r="E93" i="1" s="1"/>
  <c r="I21" i="10"/>
  <c r="E94" i="1" s="1"/>
  <c r="I22" i="10"/>
  <c r="E95" i="1" s="1"/>
  <c r="I23" i="10"/>
  <c r="E96" i="1" s="1"/>
  <c r="I24" i="10"/>
  <c r="E97" i="1" s="1"/>
  <c r="I25" i="10"/>
  <c r="E98" i="1" s="1"/>
  <c r="I26" i="10"/>
  <c r="E99" i="1" s="1"/>
  <c r="I27" i="10"/>
  <c r="E100" i="1" s="1"/>
  <c r="I28" i="10"/>
  <c r="E101" i="1" s="1"/>
  <c r="I29" i="10"/>
  <c r="E102" i="1" s="1"/>
  <c r="I30" i="10"/>
  <c r="E103" i="1" s="1"/>
  <c r="I31" i="10"/>
  <c r="E104" i="1" s="1"/>
  <c r="I32" i="10"/>
  <c r="E105" i="1" s="1"/>
  <c r="I33" i="10"/>
  <c r="E106" i="1" s="1"/>
  <c r="I18" i="10"/>
  <c r="E91" i="1" s="1"/>
  <c r="I10" i="10"/>
  <c r="E83" i="1" s="1"/>
  <c r="I11" i="10"/>
  <c r="E84" i="1" s="1"/>
  <c r="I12" i="10"/>
  <c r="E85" i="1" s="1"/>
  <c r="I13" i="10"/>
  <c r="E86" i="1" s="1"/>
  <c r="I14" i="10"/>
  <c r="E87" i="1" s="1"/>
  <c r="I15" i="10"/>
  <c r="E88" i="1" s="1"/>
  <c r="I16" i="10"/>
  <c r="E89" i="1" s="1"/>
  <c r="I9" i="10"/>
  <c r="E82" i="1" s="1"/>
  <c r="H10" i="11"/>
  <c r="E65" i="1" s="1"/>
  <c r="H11" i="11"/>
  <c r="E66" i="1" s="1"/>
  <c r="H12" i="11"/>
  <c r="E67" i="1" s="1"/>
  <c r="H13" i="11"/>
  <c r="E68" i="1" s="1"/>
  <c r="H14" i="11"/>
  <c r="E69" i="1" s="1"/>
  <c r="H15" i="11"/>
  <c r="E70" i="1" s="1"/>
  <c r="H16" i="11"/>
  <c r="E71" i="1" s="1"/>
  <c r="H17" i="11"/>
  <c r="E72" i="1" s="1"/>
  <c r="H18" i="11"/>
  <c r="E73" i="1" s="1"/>
  <c r="H19" i="11"/>
  <c r="E74" i="1" s="1"/>
  <c r="H20" i="11"/>
  <c r="E75" i="1" s="1"/>
  <c r="H21" i="11"/>
  <c r="E76" i="1" s="1"/>
  <c r="H22" i="11"/>
  <c r="E77" i="1" s="1"/>
  <c r="H23" i="11"/>
  <c r="E78" i="1" s="1"/>
  <c r="H24" i="11"/>
  <c r="E79" i="1" s="1"/>
  <c r="H9" i="11"/>
  <c r="E64" i="1" s="1"/>
  <c r="H8" i="11"/>
  <c r="E63" i="1" s="1"/>
  <c r="E49" i="1"/>
  <c r="E50" i="1"/>
  <c r="E51" i="1"/>
  <c r="E48" i="1"/>
  <c r="E56" i="1"/>
  <c r="E57" i="1"/>
  <c r="E58" i="1"/>
  <c r="E59" i="1"/>
  <c r="E61" i="1"/>
  <c r="E60" i="1"/>
  <c r="E55" i="1"/>
  <c r="E54" i="1"/>
  <c r="J12" i="13"/>
  <c r="E40" i="1" s="1"/>
  <c r="E29" i="1"/>
  <c r="E30" i="1"/>
  <c r="O16" i="14"/>
  <c r="E35" i="1" s="1"/>
  <c r="O15" i="14"/>
  <c r="E34" i="1" s="1"/>
  <c r="O14" i="14"/>
  <c r="E33" i="1" s="1"/>
  <c r="E31" i="1"/>
  <c r="E28" i="1"/>
  <c r="O8" i="14"/>
  <c r="E27" i="1" s="1"/>
  <c r="K9" i="8"/>
  <c r="I15" i="7" l="1"/>
  <c r="F173" i="1" s="1"/>
  <c r="D44" i="16"/>
  <c r="E44" i="16"/>
  <c r="I21" i="6" l="1"/>
  <c r="I14" i="6" s="1"/>
  <c r="I23" i="6" s="1"/>
  <c r="M5" i="4" l="1"/>
  <c r="D5" i="16"/>
  <c r="L5" i="2"/>
  <c r="I4" i="6"/>
  <c r="I4" i="3" s="1"/>
  <c r="F5" i="5"/>
  <c r="K5" i="12"/>
  <c r="H5" i="10"/>
  <c r="H5" i="15"/>
  <c r="G5" i="11"/>
  <c r="H5" i="9"/>
  <c r="J5" i="8"/>
  <c r="N5" i="14"/>
  <c r="I5" i="13"/>
  <c r="G5" i="1"/>
  <c r="G38" i="1" s="1"/>
  <c r="H38" i="1" s="1"/>
  <c r="J11" i="3"/>
  <c r="J12" i="3"/>
  <c r="J10" i="3"/>
  <c r="G14" i="1" l="1"/>
  <c r="H14" i="1" s="1"/>
  <c r="G16" i="1"/>
  <c r="H16" i="1" s="1"/>
  <c r="G18" i="1"/>
  <c r="H18" i="1" s="1"/>
  <c r="G20" i="1"/>
  <c r="H20" i="1" s="1"/>
  <c r="G22" i="1"/>
  <c r="H22" i="1" s="1"/>
  <c r="G24" i="1"/>
  <c r="H24" i="1" s="1"/>
  <c r="G21" i="1"/>
  <c r="H21" i="1" s="1"/>
  <c r="G23" i="1"/>
  <c r="H23" i="1" s="1"/>
  <c r="G19" i="1"/>
  <c r="H19" i="1" s="1"/>
  <c r="G13" i="1"/>
  <c r="H13" i="1" s="1"/>
  <c r="G15" i="1"/>
  <c r="H15" i="1" s="1"/>
  <c r="G17" i="1"/>
  <c r="H17" i="1" s="1"/>
  <c r="G25" i="1"/>
  <c r="H2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G154" i="1"/>
  <c r="H154" i="1" s="1"/>
  <c r="G162" i="1"/>
  <c r="G152" i="1"/>
  <c r="G156" i="1"/>
  <c r="H156" i="1" s="1"/>
  <c r="G160" i="1"/>
  <c r="H160" i="1" s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4" i="1"/>
  <c r="H94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66" i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52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G69" i="1"/>
  <c r="H69" i="1" s="1"/>
  <c r="G73" i="1"/>
  <c r="H73" i="1" s="1"/>
  <c r="G176" i="1"/>
  <c r="H176" i="1" s="1"/>
  <c r="G180" i="1"/>
  <c r="H180" i="1" s="1"/>
  <c r="H161" i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H27" i="1"/>
  <c r="J13" i="3"/>
  <c r="F9" i="1" s="1"/>
  <c r="G9" i="1" s="1"/>
  <c r="H12" i="1" l="1"/>
  <c r="G12" i="1" s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G90" i="1" s="1"/>
  <c r="H162" i="1"/>
  <c r="H151" i="1" s="1"/>
  <c r="G151" i="1" s="1"/>
  <c r="H175" i="1"/>
  <c r="H113" i="1"/>
  <c r="H112" i="1" s="1"/>
  <c r="G112" i="1" s="1"/>
  <c r="H108" i="1"/>
  <c r="H107" i="1" s="1"/>
  <c r="G107" i="1" s="1"/>
  <c r="C19" i="2"/>
  <c r="H82" i="1"/>
  <c r="H81" i="1" s="1"/>
  <c r="G81" i="1" s="1"/>
  <c r="H172" i="1"/>
  <c r="H130" i="1"/>
  <c r="H129" i="1" s="1"/>
  <c r="G129" i="1" s="1"/>
  <c r="H145" i="1"/>
  <c r="H144" i="1" s="1"/>
  <c r="G144" i="1" s="1"/>
  <c r="C15" i="2"/>
  <c r="E15" i="2" s="1"/>
  <c r="H164" i="1"/>
  <c r="H163" i="1" s="1"/>
  <c r="G163" i="1" s="1"/>
  <c r="H166" i="1"/>
  <c r="C27" i="2" l="1"/>
  <c r="K27" i="2" s="1"/>
  <c r="L27" i="2" s="1"/>
  <c r="H165" i="1"/>
  <c r="G165" i="1" s="1"/>
  <c r="H80" i="1"/>
  <c r="G80" i="1" s="1"/>
  <c r="C31" i="2"/>
  <c r="K31" i="2" s="1"/>
  <c r="L31" i="2" s="1"/>
  <c r="H174" i="1"/>
  <c r="G174" i="1" s="1"/>
  <c r="C13" i="2"/>
  <c r="E13" i="2" s="1"/>
  <c r="C29" i="2"/>
  <c r="K29" i="2" s="1"/>
  <c r="H171" i="1"/>
  <c r="G171" i="1" s="1"/>
  <c r="C11" i="2"/>
  <c r="M27" i="2"/>
  <c r="L29" i="2"/>
  <c r="M29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K13" i="2"/>
  <c r="L13" i="2" s="1"/>
  <c r="M15" i="2"/>
  <c r="F15" i="2"/>
  <c r="K11" i="2"/>
  <c r="I11" i="2"/>
  <c r="G11" i="2"/>
  <c r="E11" i="2"/>
  <c r="M31" i="2" l="1"/>
  <c r="G181" i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<sst xmlns="http://schemas.openxmlformats.org/spreadsheetml/2006/main" count="2364" uniqueCount="809">
  <si>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</si>
  <si>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</si>
  <si>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</si>
  <si>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</si>
  <si>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</si>
  <si>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</si>
  <si>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</si>
  <si>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</si>
  <si>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</si>
  <si>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</si>
  <si>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</si>
  <si>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</si>
  <si>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</si>
  <si>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</si>
  <si>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</si>
  <si>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</si>
  <si>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</si>
  <si>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</si>
  <si>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</si>
  <si>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</si>
  <si>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</si>
  <si>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</si>
  <si>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</si>
  <si>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</si>
  <si>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</si>
  <si>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</si>
  <si>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</si>
  <si>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</si>
  <si>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</si>
  <si>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</si>
  <si>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</si>
  <si>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</si>
  <si>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</si>
  <si>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</si>
  <si>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</si>
  <si>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</si>
  <si>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</si>
  <si>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</si>
  <si>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</si>
  <si>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</si>
  <si>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</si>
  <si>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</si>
  <si>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</si>
  <si>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</si>
  <si>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</si>
  <si>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</si>
  <si>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</si>
  <si>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</si>
  <si>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</si>
  <si>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</si>
  <si>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</si>
  <si>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</si>
  <si>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</si>
  <si>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</si>
  <si>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</si>
  <si>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</si>
  <si>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</si>
  <si>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</si>
  <si>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</si>
  <si>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</si>
  <si>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</si>
  <si>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</si>
  <si>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</si>
  <si>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</si>
  <si>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</si>
  <si>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</si>
  <si>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</si>
  <si>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</si>
  <si>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</si>
  <si>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</si>
  <si>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</si>
  <si>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</si>
  <si>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</si>
  <si>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</si>
  <si>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</si>
  <si>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</si>
  <si>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</si>
  <si>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</si>
  <si>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</si>
  <si>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</si>
  <si>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</si>
  <si>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</si>
  <si>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</si>
  <si>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</si>
  <si>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</si>
  <si>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</si>
  <si>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</si>
  <si>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</si>
  <si>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</si>
  <si>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</si>
  <si>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</si>
  <si>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</si>
  <si>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</si>
  <si>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</si>
  <si>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</si>
  <si>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</si>
  <si>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</si>
  <si>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</si>
  <si>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</si>
  <si>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</si>
  <si>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</si>
  <si>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</si>
  <si>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</si>
  <si>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</si>
  <si>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</si>
  <si>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</si>
  <si>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</si>
  <si>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</si>
  <si>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</si>
  <si>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</si>
  <si>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</si>
  <si>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</si>
  <si>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</si>
  <si>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</si>
  <si>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</si>
  <si>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</si>
  <si>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</si>
  <si>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</si>
  <si>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</si>
  <si>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</si>
  <si>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</si>
  <si>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</si>
  <si>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</si>
  <si>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</si>
  <si>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</si>
  <si>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</si>
  <si>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</si>
  <si>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</si>
  <si>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</si>
  <si>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</si>
  <si>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</si>
  <si>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</si>
  <si>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</si>
  <si>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</si>
  <si>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</si>
  <si>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</si>
  <si>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</si>
  <si>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</si>
  <si>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</si>
  <si>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</si>
  <si>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</si>
  <si>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</si>
  <si>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</si>
  <si>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</si>
  <si>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</si>
  <si>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</si>
  <si>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</si>
  <si>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</si>
  <si>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</si>
  <si>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</si>
  <si>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</si>
  <si>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</si>
  <si>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</si>
  <si>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</si>
  <si>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</si>
  <si>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</si>
  <si>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</si>
  <si>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</si>
  <si>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</si>
  <si>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</si>
  <si>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</si>
  <si>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</si>
  <si>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</si>
  <si>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</si>
  <si>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</si>
  <si>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</si>
  <si>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</si>
  <si>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</si>
  <si>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</si>
  <si>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</si>
  <si>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</si>
  <si>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</si>
  <si>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</si>
  <si>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</si>
  <si>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</si>
  <si>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</si>
  <si>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</si>
  <si>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</si>
  <si>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</si>
  <si>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</si>
  <si>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</si>
  <si>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</si>
  <si>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</si>
  <si>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</si>
  <si>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</si>
  <si>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</si>
  <si>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</si>
  <si>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</si>
  <si>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</si>
  <si>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</si>
  <si>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</si>
  <si>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</si>
  <si>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</si>
  <si>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</si>
  <si>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</si>
  <si>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</si>
  <si>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</si>
  <si>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</si>
  <si>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</si>
  <si>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</si>
  <si>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</si>
  <si>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</si>
  <si>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</si>
  <si>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</si>
  <si>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</si>
  <si>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</si>
  <si>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</si>
  <si>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</si>
  <si>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</si>
  <si>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</si>
  <si>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</si>
  <si>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</si>
  <si>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</si>
  <si>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</si>
  <si>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</si>
  <si>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</si>
  <si>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</si>
  <si>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</si>
  <si>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</si>
  <si>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</si>
  <si>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</si>
  <si>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</si>
  <si>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</si>
  <si>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</si>
  <si>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</si>
  <si>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</si>
  <si>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</si>
  <si>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</si>
  <si>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</si>
  <si>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</si>
  <si>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</si>
  <si>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</si>
  <si>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</si>
  <si>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</si>
  <si>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</si>
  <si>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</si>
  <si>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</si>
  <si>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</si>
  <si>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</si>
  <si>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</si>
  <si>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</si>
  <si>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</si>
  <si>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</si>
  <si>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</si>
  <si>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</si>
  <si>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</si>
  <si>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</si>
  <si>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</si>
  <si>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</si>
  <si>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</si>
  <si>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</si>
  <si>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</si>
  <si>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</si>
  <si>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</si>
  <si>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</si>
  <si>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</si>
  <si>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</si>
  <si>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</si>
  <si>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</si>
  <si>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</si>
  <si>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</si>
  <si>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</si>
  <si>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</si>
  <si>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</si>
  <si>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</si>
  <si>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</si>
  <si>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</si>
  <si>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</si>
  <si>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</si>
  <si>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</si>
  <si>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</si>
  <si>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</si>
  <si>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</si>
  <si>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</si>
  <si>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</si>
  <si>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</si>
  <si>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</si>
  <si>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</si>
  <si>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</si>
  <si>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</si>
  <si>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</si>
  <si>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</si>
  <si>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</si>
  <si>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</si>
  <si>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</si>
  <si>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</si>
  <si>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</si>
  <si>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</si>
  <si>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</si>
  <si>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</si>
  <si>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</si>
  <si>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</si>
  <si>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</si>
  <si>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</si>
  <si>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</si>
  <si>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</si>
  <si>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</si>
  <si>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</si>
  <si>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</si>
  <si>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</si>
  <si>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</si>
  <si>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</si>
  <si>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</si>
  <si>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</si>
  <si>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</si>
  <si>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</si>
  <si>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</si>
  <si>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</si>
  <si>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</si>
  <si>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</si>
  <si>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</si>
  <si>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</si>
  <si>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</si>
  <si>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</si>
  <si>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</si>
  <si>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</si>
  <si>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</si>
  <si>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</si>
  <si>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</si>
  <si>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</si>
  <si>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</si>
  <si>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</si>
  <si>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</si>
  <si>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</si>
  <si>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</si>
  <si>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</si>
  <si>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</si>
  <si>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</si>
  <si>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</si>
  <si>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</si>
  <si>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</si>
  <si>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</si>
  <si>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</si>
  <si>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</si>
  <si>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</si>
  <si>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</si>
  <si>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</si>
  <si>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</si>
  <si>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</si>
  <si>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</si>
  <si>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</si>
  <si>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</si>
  <si>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</si>
  <si>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</si>
  <si>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</si>
  <si>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</si>
  <si>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</si>
  <si>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</si>
  <si>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</si>
  <si>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</si>
  <si>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</si>
  <si>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</si>
  <si>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</si>
  <si>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</si>
  <si>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</si>
  <si>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</si>
  <si>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</si>
  <si>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</si>
  <si>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</si>
  <si>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</si>
  <si>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</si>
  <si>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</si>
  <si>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</si>
  <si>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</si>
  <si>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</si>
  <si>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</si>
  <si>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</si>
  <si>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</si>
  <si>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</si>
  <si>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</si>
  <si>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</si>
  <si>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</si>
  <si>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</si>
  <si>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</si>
  <si>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</si>
  <si>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</si>
  <si>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</si>
  <si>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</si>
  <si>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</si>
  <si>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</si>
  <si>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</si>
  <si>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</si>
  <si>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</si>
  <si>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</si>
  <si>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</si>
  <si>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</si>
  <si>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</si>
  <si>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</si>
  <si>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</si>
  <si>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</si>
  <si>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</si>
  <si>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</si>
  <si>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</si>
  <si>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</si>
  <si>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</si>
  <si>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</si>
  <si>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</si>
  <si>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</si>
  <si>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</si>
  <si>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</si>
  <si>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</si>
  <si>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</si>
  <si>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</si>
  <si>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</si>
  <si>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</si>
  <si>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</si>
  <si>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</si>
  <si>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</si>
  <si>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</si>
  <si>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</si>
  <si>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</si>
  <si>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</si>
  <si>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</si>
  <si>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</si>
  <si>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</si>
  <si>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</si>
  <si>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</si>
  <si>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</si>
  <si>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</si>
  <si>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</si>
  <si>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</si>
  <si>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</si>
  <si>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</si>
  <si>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</si>
  <si>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</si>
  <si>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</si>
  <si>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</si>
  <si>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</si>
  <si>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</si>
  <si>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</si>
  <si>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</si>
  <si>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</si>
  <si>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</si>
  <si>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</si>
  <si>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</si>
  <si>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</si>
  <si>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</si>
  <si>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</si>
  <si>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</si>
  <si>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</si>
  <si>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</si>
  <si>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</si>
  <si>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</si>
  <si>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</si>
  <si>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</si>
  <si>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</si>
  <si>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</si>
  <si>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</si>
  <si>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</si>
  <si>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</si>
  <si>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</si>
  <si>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</si>
  <si>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</si>
  <si>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</si>
  <si>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</si>
  <si>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</si>
  <si>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</si>
  <si>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</si>
  <si>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</si>
  <si>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</si>
  <si>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</si>
  <si>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</si>
  <si>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</si>
  <si>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</si>
  <si>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</si>
  <si>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</si>
  <si>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</si>
  <si>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</si>
  <si>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</si>
  <si>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</si>
  <si>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</si>
  <si>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</si>
  <si>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</si>
  <si>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</si>
  <si>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</si>
  <si>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</si>
  <si>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</si>
  <si>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</si>
  <si>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</si>
  <si>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</si>
  <si>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</si>
  <si>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</si>
  <si>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</si>
  <si>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</si>
  <si>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</si>
  <si>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</si>
  <si>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</si>
  <si>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</si>
  <si>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</si>
  <si>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</si>
  <si>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</si>
  <si>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</si>
  <si>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</si>
  <si>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</si>
  <si>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</si>
  <si>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</si>
  <si>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</si>
  <si>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</si>
  <si>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</si>
  <si>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</si>
  <si>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</si>
  <si>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</si>
  <si>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</si>
  <si>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</si>
  <si>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</si>
  <si>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</si>
  <si>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</si>
  <si>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</si>
  <si>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</si>
  <si>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</si>
  <si>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</si>
  <si>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</si>
  <si>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</si>
  <si>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</si>
  <si>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</si>
  <si>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</si>
  <si>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</si>
  <si>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</si>
  <si>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</si>
  <si>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</si>
  <si>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</si>
  <si>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</si>
  <si>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</si>
  <si>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</si>
  <si>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</si>
  <si>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</si>
  <si>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</si>
  <si>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</si>
  <si>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</si>
  <si>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</si>
  <si>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</si>
  <si>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</si>
  <si>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</si>
  <si>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</si>
  <si>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</si>
  <si>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</si>
  <si>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</si>
  <si>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</si>
  <si>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</si>
  <si>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</si>
  <si>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</si>
  <si>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</si>
  <si>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</si>
  <si>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</si>
  <si>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</si>
  <si>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</si>
  <si>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</si>
  <si>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</si>
  <si>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</si>
  <si>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</si>
  <si>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</si>
  <si>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</si>
  <si>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</si>
  <si>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</si>
  <si>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</si>
  <si>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</si>
  <si>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</si>
  <si>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</si>
  <si>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</si>
  <si>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</si>
  <si>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</si>
  <si>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</si>
  <si>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</si>
  <si>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</si>
  <si>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</si>
  <si>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</si>
  <si>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</si>
  <si>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</si>
  <si>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</si>
  <si>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</si>
  <si>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</si>
  <si>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</si>
  <si>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</si>
  <si>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</si>
  <si>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</si>
  <si>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</si>
  <si>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</si>
  <si>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</si>
  <si>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</si>
  <si>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</si>
  <si>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</si>
  <si>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</si>
  <si>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</si>
  <si>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</si>
  <si>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</si>
  <si>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</si>
  <si>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</si>
  <si>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</si>
  <si>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</si>
  <si>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</si>
  <si>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</si>
  <si>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</si>
  <si>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</si>
  <si>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</si>
  <si>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</si>
  <si>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</si>
  <si>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</si>
  <si>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</si>
  <si>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</si>
  <si>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</si>
  <si>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</si>
  <si>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</si>
  <si>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</si>
  <si>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</si>
  <si>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</si>
  <si>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</si>
  <si>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</si>
  <si>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</si>
  <si>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</si>
  <si>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</si>
  <si>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</si>
  <si>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</si>
  <si>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</si>
  <si>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</si>
  <si>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</si>
  <si>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</si>
  <si>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</si>
  <si>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</si>
  <si>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</si>
  <si>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</si>
  <si>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</si>
  <si>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</si>
  <si>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</si>
  <si>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</si>
  <si>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</si>
  <si>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</si>
  <si>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</si>
  <si>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</si>
  <si>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</si>
  <si>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</si>
  <si>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</si>
  <si>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</si>
  <si>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</si>
  <si>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</si>
  <si>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</si>
  <si>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</si>
  <si>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</si>
  <si>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</si>
  <si>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</si>
  <si>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</si>
  <si>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</si>
  <si>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</si>
  <si>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</si>
  <si>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</si>
  <si>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</si>
  <si>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</si>
  <si>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</si>
  <si>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</si>
  <si>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</si>
  <si>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</si>
  <si>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</si>
  <si>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</si>
  <si>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</si>
  <si>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</si>
  <si>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</si>
  <si>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</si>
  <si>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</si>
  <si>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</si>
  <si>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</si>
  <si>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</si>
  <si>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</si>
  <si>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</si>
  <si>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</si>
  <si>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</si>
  <si>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</si>
  <si>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</si>
  <si>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</si>
  <si>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</si>
  <si>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</si>
  <si>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</si>
  <si>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</si>
  <si>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</si>
  <si>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</si>
  <si>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</si>
  <si>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</si>
  <si>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</si>
  <si>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</si>
  <si>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</si>
  <si>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</si>
  <si>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</si>
  <si>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</si>
  <si>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</si>
  <si>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</si>
  <si>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</si>
  <si>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</si>
  <si>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</si>
  <si>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</si>
  <si>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</si>
  <si>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</si>
  <si>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</si>
  <si>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</si>
  <si>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</si>
  <si>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</si>
  <si>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</si>
  <si>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</si>
  <si>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</si>
  <si>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</si>
  <si>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</si>
  <si>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</si>
  <si>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</si>
  <si>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</si>
  <si>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</si>
  <si>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</si>
  <si>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</si>
  <si>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</si>
  <si>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</si>
  <si>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</si>
  <si>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</si>
  <si>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</si>
  <si>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</si>
  <si>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</si>
  <si>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</si>
  <si>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</si>
  <si>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</si>
  <si>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</si>
  <si>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</si>
  <si>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</si>
  <si>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</si>
  <si>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</si>
  <si>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</si>
  <si>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</si>
  <si>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</si>
  <si>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</si>
  <si>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</si>
  <si>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</si>
  <si>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</si>
  <si>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</si>
  <si>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</si>
  <si>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</si>
  <si>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</si>
  <si>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</si>
  <si>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</si>
  <si>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</si>
  <si>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</si>
  <si>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</si>
  <si>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</si>
  <si>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</si>
  <si>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</si>
  <si>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</si>
  <si>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</si>
  <si>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</si>
  <si>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</si>
  <si>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</si>
  <si>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</si>
  <si>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</si>
  <si>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</si>
  <si>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</si>
  <si>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</si>
  <si>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</si>
  <si>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</si>
  <si>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</si>
  <si>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</si>
  <si>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</si>
  <si>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</si>
  <si>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</si>
  <si>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</si>
  <si>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</si>
  <si>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</si>
  <si>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</si>
  <si>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</si>
  <si>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</si>
  <si>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</si>
  <si>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</si>
  <si>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</si>
  <si>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</si>
  <si>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</si>
  <si>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</si>
  <si>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</si>
  <si>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</si>
  <si>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</si>
  <si>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</si>
  <si>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</si>
  <si>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</si>
  <si>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</si>
  <si>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</si>
  <si>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</si>
  <si>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</si>
  <si>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</si>
  <si>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</si>
  <si>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</si>
  <si>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</si>
  <si>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</si>
  <si>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</si>
  <si>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</si>
  <si>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</si>
  <si>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</si>
  <si>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6259</t>
  </si>
  <si>
    <t>2.2.10</t>
  </si>
  <si>
    <t>FÓRMULA</t>
  </si>
  <si>
    <t>OBS: A porcentagem do custo total da Administração Local deverá estar enquadrada nos parâmetros do Acórdão nº 2622/2013 - TCU.</t>
  </si>
  <si>
    <t>3.2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</si>
  <si>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</si>
  <si>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EMPOLAMENTO DO SOLO (%)</t>
  </si>
  <si>
    <t>DISTÂNCIA (Km)</t>
  </si>
  <si>
    <t>ESPESSURA (m)</t>
  </si>
  <si>
    <t>LARGURA (m)</t>
  </si>
  <si>
    <t>COMPRIMENTO (m)</t>
  </si>
  <si>
    <t>VOLUME DE CORTE (m³)</t>
  </si>
  <si>
    <t>VOLUME DE ATERRO (m³)</t>
  </si>
  <si>
    <t>ESPESSURA DA CAMADA INSERVÍVEL (m)</t>
  </si>
  <si>
    <t>CONTRAÇÃO DO SOLO (%)</t>
  </si>
  <si>
    <t>5.10</t>
  </si>
  <si>
    <t>5.11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</si>
  <si>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</si>
  <si>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PROFUNDIDADE (m)</t>
  </si>
  <si>
    <t>ÁREA (m²)</t>
  </si>
  <si>
    <t>COLOCAR LOGOTIPO E IDENTIFICAÇÃO DO MUNÍCIPIO</t>
  </si>
  <si>
    <t>AP - Janeiro/2018</t>
  </si>
  <si>
    <t>AP - Setembro/2017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</si>
</sst>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614">
    <xf numFmtId="0" fontId="0" fillId="0" borderId="0" xfId="0"/>
    <xf numFmtId="10" fontId="31" fillId="0" borderId="40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16" borderId="9" xfId="0" applyFont="1" applyFill="1" applyBorder="1" applyAlignment="1" applyProtection="1">
      <alignment horizontal="center" vertical="center" wrapText="1"/>
      <protection locked="0"/>
    </xf>
    <xf numFmtId="44" fontId="0" fillId="0" borderId="9" xfId="1" applyFont="1" applyFill="1" applyBorder="1" applyAlignment="1" applyProtection="1">
      <alignment horizontal="center" vertical="center" wrapText="1"/>
    </xf>
    <xf numFmtId="166" fontId="0" fillId="0" borderId="9" xfId="0" applyNumberFormat="1" applyFont="1" applyFill="1" applyBorder="1" applyAlignment="1" applyProtection="1">
      <alignment horizontal="center" vertical="center" wrapText="1"/>
    </xf>
    <xf numFmtId="166" fontId="0" fillId="0" borderId="9" xfId="0" applyNumberForma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6" fontId="7" fillId="4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vertical="center" wrapText="1"/>
    </xf>
    <xf numFmtId="0" fontId="0" fillId="16" borderId="9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</xf>
    <xf numFmtId="0" fontId="11" fillId="16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vertical="center" wrapText="1"/>
    </xf>
    <xf numFmtId="0" fontId="20" fillId="0" borderId="9" xfId="2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top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9" xfId="2" applyFont="1" applyFill="1" applyBorder="1" applyAlignment="1" applyProtection="1">
      <alignment horizontal="left" vertical="center" wrapText="1"/>
    </xf>
    <xf numFmtId="166" fontId="0" fillId="0" borderId="9" xfId="0" applyNumberFormat="1" applyFill="1" applyBorder="1" applyAlignment="1" applyProtection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16" borderId="9" xfId="0" applyFont="1" applyFill="1" applyBorder="1" applyAlignment="1" applyProtection="1">
      <alignment horizontal="center" vertical="center"/>
      <protection locked="0"/>
    </xf>
    <xf numFmtId="0" fontId="3" fillId="16" borderId="9" xfId="0" applyFont="1" applyFill="1" applyBorder="1" applyAlignment="1" applyProtection="1">
      <alignment horizontal="center" vertical="center"/>
      <protection locked="0"/>
    </xf>
    <xf numFmtId="0" fontId="0" fillId="16" borderId="9" xfId="0" applyFill="1" applyBorder="1" applyAlignment="1" applyProtection="1">
      <alignment horizontal="center" vertical="center"/>
      <protection locked="0"/>
    </xf>
    <xf numFmtId="0" fontId="19" fillId="16" borderId="9" xfId="0" applyFont="1" applyFill="1" applyBorder="1" applyAlignment="1" applyProtection="1">
      <alignment horizontal="center" vertical="center"/>
      <protection locked="0"/>
    </xf>
    <xf numFmtId="9" fontId="19" fillId="16" borderId="9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9" xfId="0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top" wrapText="1"/>
    </xf>
    <xf numFmtId="0" fontId="29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top" wrapText="1"/>
    </xf>
    <xf numFmtId="0" fontId="12" fillId="0" borderId="9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9" fontId="19" fillId="0" borderId="9" xfId="4" applyFont="1" applyFill="1" applyBorder="1" applyAlignment="1" applyProtection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</xf>
    <xf numFmtId="9" fontId="0" fillId="0" borderId="9" xfId="4" applyFont="1" applyFill="1" applyBorder="1" applyAlignment="1" applyProtection="1">
      <alignment horizontal="center" vertical="center"/>
    </xf>
    <xf numFmtId="0" fontId="0" fillId="16" borderId="9" xfId="0" applyFill="1" applyBorder="1" applyAlignment="1" applyProtection="1">
      <alignment horizontal="center"/>
      <protection locked="0"/>
    </xf>
    <xf numFmtId="0" fontId="26" fillId="16" borderId="9" xfId="0" applyFont="1" applyFill="1" applyBorder="1" applyAlignment="1" applyProtection="1">
      <alignment horizontal="center" vertical="center"/>
      <protection locked="0"/>
    </xf>
    <xf numFmtId="0" fontId="2" fillId="16" borderId="9" xfId="0" applyFont="1" applyFill="1" applyBorder="1" applyProtection="1">
      <protection locked="0"/>
    </xf>
    <xf numFmtId="0" fontId="0" fillId="16" borderId="9" xfId="0" applyFill="1" applyBorder="1" applyProtection="1">
      <protection locked="0"/>
    </xf>
    <xf numFmtId="9" fontId="0" fillId="16" borderId="9" xfId="4" applyFont="1" applyFill="1" applyBorder="1" applyProtection="1">
      <protection locked="0"/>
    </xf>
    <xf numFmtId="9" fontId="0" fillId="0" borderId="0" xfId="4" applyFont="1" applyProtection="1">
      <protection locked="0"/>
    </xf>
    <xf numFmtId="9" fontId="7" fillId="4" borderId="9" xfId="4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vertical="top" wrapText="1"/>
    </xf>
    <xf numFmtId="0" fontId="9" fillId="0" borderId="9" xfId="0" applyFont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vertical="top" wrapText="1"/>
    </xf>
    <xf numFmtId="0" fontId="12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left" vertical="top" wrapText="1"/>
    </xf>
    <xf numFmtId="0" fontId="0" fillId="0" borderId="9" xfId="0" applyFont="1" applyBorder="1" applyAlignment="1" applyProtection="1">
      <alignment horizontal="left" vertical="center" wrapText="1"/>
    </xf>
    <xf numFmtId="0" fontId="26" fillId="0" borderId="9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/>
    <xf numFmtId="9" fontId="19" fillId="0" borderId="9" xfId="4" applyFont="1" applyBorder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center" vertical="center"/>
    </xf>
    <xf numFmtId="9" fontId="26" fillId="0" borderId="9" xfId="4" applyFont="1" applyBorder="1" applyAlignment="1" applyProtection="1">
      <alignment horizontal="center" vertical="center"/>
    </xf>
    <xf numFmtId="2" fontId="2" fillId="0" borderId="9" xfId="0" applyNumberFormat="1" applyFont="1" applyBorder="1" applyAlignment="1" applyProtection="1">
      <alignment horizontal="center" vertical="center"/>
    </xf>
    <xf numFmtId="9" fontId="2" fillId="0" borderId="9" xfId="4" applyFont="1" applyBorder="1" applyProtection="1"/>
    <xf numFmtId="2" fontId="2" fillId="0" borderId="9" xfId="0" applyNumberFormat="1" applyFont="1" applyBorder="1" applyAlignment="1" applyProtection="1">
      <alignment horizontal="center"/>
    </xf>
    <xf numFmtId="0" fontId="0" fillId="0" borderId="9" xfId="0" applyBorder="1" applyProtection="1"/>
    <xf numFmtId="9" fontId="0" fillId="0" borderId="9" xfId="4" applyFont="1" applyBorder="1" applyProtection="1"/>
    <xf numFmtId="2" fontId="0" fillId="0" borderId="9" xfId="0" applyNumberFormat="1" applyBorder="1" applyAlignment="1" applyProtection="1">
      <alignment horizontal="center"/>
    </xf>
    <xf numFmtId="0" fontId="0" fillId="0" borderId="9" xfId="0" applyFill="1" applyBorder="1" applyProtection="1"/>
    <xf numFmtId="2" fontId="0" fillId="0" borderId="9" xfId="0" applyNumberFormat="1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left" vertical="center"/>
    </xf>
    <xf numFmtId="0" fontId="9" fillId="5" borderId="9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 wrapText="1"/>
    </xf>
    <xf numFmtId="0" fontId="0" fillId="5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left" vertical="center" wrapText="1"/>
    </xf>
    <xf numFmtId="0" fontId="20" fillId="7" borderId="9" xfId="2" applyFont="1" applyFill="1" applyBorder="1" applyAlignment="1" applyProtection="1">
      <alignment horizontal="center" vertical="center" wrapText="1"/>
    </xf>
    <xf numFmtId="0" fontId="20" fillId="7" borderId="9" xfId="2" applyFont="1" applyFill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top" wrapText="1"/>
    </xf>
    <xf numFmtId="0" fontId="6" fillId="0" borderId="9" xfId="0" applyFont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top" wrapText="1"/>
    </xf>
    <xf numFmtId="0" fontId="0" fillId="0" borderId="9" xfId="0" applyBorder="1" applyAlignment="1" applyProtection="1">
      <alignment horizontal="left" vertical="top" wrapText="1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12" fillId="16" borderId="9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wrapText="1"/>
    </xf>
    <xf numFmtId="0" fontId="11" fillId="0" borderId="9" xfId="0" applyFont="1" applyFill="1" applyBorder="1" applyAlignment="1" applyProtection="1">
      <alignment vertical="center" wrapText="1"/>
    </xf>
    <xf numFmtId="0" fontId="11" fillId="0" borderId="9" xfId="0" applyNumberFormat="1" applyFont="1" applyFill="1" applyBorder="1" applyAlignment="1" applyProtection="1">
      <alignment vertical="center" wrapText="1"/>
    </xf>
    <xf numFmtId="0" fontId="0" fillId="0" borderId="9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 wrapText="1"/>
    </xf>
    <xf numFmtId="10" fontId="30" fillId="16" borderId="31" xfId="6" applyNumberFormat="1" applyFont="1" applyFill="1" applyBorder="1" applyAlignment="1" applyProtection="1">
      <alignment horizontal="center" vertical="center"/>
      <protection locked="0"/>
    </xf>
    <xf numFmtId="10" fontId="30" fillId="16" borderId="23" xfId="6" applyNumberFormat="1" applyFont="1" applyFill="1" applyBorder="1" applyAlignment="1" applyProtection="1">
      <alignment horizontal="center" vertical="center"/>
      <protection locked="0"/>
    </xf>
    <xf numFmtId="10" fontId="29" fillId="16" borderId="23" xfId="5" applyNumberFormat="1" applyFont="1" applyFill="1" applyBorder="1" applyAlignment="1" applyProtection="1">
      <alignment horizontal="center" vertical="center"/>
      <protection locked="0"/>
    </xf>
    <xf numFmtId="10" fontId="30" fillId="16" borderId="38" xfId="6" applyNumberFormat="1" applyFont="1" applyFill="1" applyBorder="1" applyAlignment="1" applyProtection="1">
      <alignment horizontal="center" vertical="center"/>
      <protection locked="0"/>
    </xf>
    <xf numFmtId="10" fontId="29" fillId="16" borderId="23" xfId="6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29" fillId="0" borderId="27" xfId="5" applyFont="1" applyBorder="1" applyAlignment="1" applyProtection="1">
      <alignment horizontal="center" vertical="center"/>
    </xf>
    <xf numFmtId="0" fontId="29" fillId="0" borderId="21" xfId="5" applyFont="1" applyBorder="1" applyAlignment="1" applyProtection="1">
      <alignment horizontal="center" vertical="center"/>
    </xf>
    <xf numFmtId="0" fontId="29" fillId="0" borderId="34" xfId="5" applyFont="1" applyBorder="1" applyAlignment="1" applyProtection="1">
      <alignment horizontal="center" vertical="center"/>
    </xf>
    <xf numFmtId="0" fontId="29" fillId="0" borderId="19" xfId="5" applyFont="1" applyBorder="1" applyAlignment="1" applyProtection="1">
      <alignment horizontal="center" vertical="center"/>
    </xf>
    <xf numFmtId="0" fontId="29" fillId="0" borderId="0" xfId="5" applyFont="1" applyBorder="1" applyAlignment="1" applyProtection="1">
      <alignment vertical="center"/>
    </xf>
    <xf numFmtId="10" fontId="29" fillId="0" borderId="20" xfId="5" applyNumberFormat="1" applyFont="1" applyBorder="1" applyAlignment="1" applyProtection="1">
      <alignment vertical="center"/>
    </xf>
    <xf numFmtId="10" fontId="31" fillId="0" borderId="40" xfId="5" applyNumberFormat="1" applyFont="1" applyFill="1" applyBorder="1" applyAlignment="1" applyProtection="1">
      <alignment horizontal="center" vertical="center"/>
    </xf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0" fontId="0" fillId="0" borderId="19" xfId="0" applyFont="1" applyBorder="1" applyProtection="1"/>
    <xf numFmtId="0" fontId="32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/>
    <xf numFmtId="0" fontId="0" fillId="0" borderId="20" xfId="0" applyFont="1" applyBorder="1" applyProtection="1"/>
    <xf numFmtId="0" fontId="0" fillId="0" borderId="0" xfId="0" applyFont="1" applyBorder="1" applyAlignment="1" applyProtection="1"/>
    <xf numFmtId="0" fontId="0" fillId="0" borderId="24" xfId="0" applyFont="1" applyBorder="1" applyProtection="1"/>
    <xf numFmtId="0" fontId="0" fillId="0" borderId="25" xfId="0" applyFont="1" applyBorder="1" applyProtection="1"/>
    <xf numFmtId="0" fontId="0" fillId="0" borderId="26" xfId="0" applyFont="1" applyBorder="1" applyProtection="1"/>
    <xf numFmtId="0" fontId="29" fillId="0" borderId="16" xfId="5" applyFont="1" applyBorder="1" applyAlignment="1" applyProtection="1">
      <alignment vertical="center"/>
    </xf>
    <xf numFmtId="0" fontId="29" fillId="0" borderId="17" xfId="5" applyFont="1" applyBorder="1" applyAlignment="1" applyProtection="1">
      <alignment vertical="center"/>
    </xf>
    <xf numFmtId="10" fontId="31" fillId="0" borderId="18" xfId="5" applyNumberFormat="1" applyFont="1" applyBorder="1" applyAlignment="1" applyProtection="1">
      <alignment horizontal="center" vertical="center"/>
    </xf>
    <xf numFmtId="0" fontId="31" fillId="0" borderId="19" xfId="5" applyFont="1" applyBorder="1" applyAlignment="1" applyProtection="1">
      <alignment vertical="center"/>
    </xf>
    <xf numFmtId="0" fontId="29" fillId="0" borderId="20" xfId="5" applyFont="1" applyBorder="1" applyAlignment="1" applyProtection="1">
      <alignment vertical="center"/>
    </xf>
    <xf numFmtId="0" fontId="0" fillId="0" borderId="0" xfId="0" applyProtection="1"/>
    <xf numFmtId="2" fontId="11" fillId="0" borderId="9" xfId="0" applyNumberFormat="1" applyFont="1" applyFill="1" applyBorder="1" applyAlignment="1" applyProtection="1">
      <alignment horizontal="center"/>
    </xf>
    <xf numFmtId="166" fontId="11" fillId="0" borderId="9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44" fontId="0" fillId="0" borderId="9" xfId="0" applyNumberFormat="1" applyBorder="1" applyProtection="1"/>
    <xf numFmtId="9" fontId="0" fillId="0" borderId="9" xfId="4" applyNumberFormat="1" applyFont="1" applyBorder="1" applyAlignment="1" applyProtection="1">
      <alignment horizontal="center" vertical="center"/>
    </xf>
    <xf numFmtId="165" fontId="0" fillId="0" borderId="9" xfId="0" applyNumberFormat="1" applyBorder="1" applyAlignment="1" applyProtection="1">
      <alignment horizontal="center"/>
    </xf>
    <xf numFmtId="9" fontId="0" fillId="0" borderId="9" xfId="4" applyFont="1" applyBorder="1" applyAlignment="1" applyProtection="1">
      <alignment horizontal="center"/>
    </xf>
    <xf numFmtId="44" fontId="0" fillId="0" borderId="9" xfId="0" applyNumberFormat="1" applyBorder="1" applyAlignment="1" applyProtection="1">
      <alignment horizontal="center"/>
    </xf>
    <xf numFmtId="0" fontId="0" fillId="0" borderId="9" xfId="3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9" xfId="0" applyNumberFormat="1" applyBorder="1" applyAlignment="1" applyProtection="1">
      <alignment horizontal="center"/>
    </xf>
    <xf numFmtId="0" fontId="0" fillId="0" borderId="9" xfId="4" applyNumberFormat="1" applyFon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164" fontId="0" fillId="0" borderId="9" xfId="4" applyNumberFormat="1" applyFont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3" fillId="0" borderId="9" xfId="0" applyFont="1" applyBorder="1" applyAlignment="1" applyProtection="1">
      <alignment vertical="center"/>
    </xf>
    <xf numFmtId="166" fontId="0" fillId="0" borderId="9" xfId="0" applyNumberFormat="1" applyBorder="1" applyAlignment="1" applyProtection="1">
      <alignment horizontal="center"/>
    </xf>
    <xf numFmtId="10" fontId="27" fillId="16" borderId="9" xfId="0" applyNumberFormat="1" applyFont="1" applyFill="1" applyBorder="1" applyProtection="1">
      <protection locked="0"/>
    </xf>
    <xf numFmtId="10" fontId="17" fillId="16" borderId="9" xfId="0" applyNumberFormat="1" applyFont="1" applyFill="1" applyBorder="1" applyAlignment="1" applyProtection="1">
      <alignment horizontal="center"/>
      <protection locked="0"/>
    </xf>
    <xf numFmtId="10" fontId="27" fillId="16" borderId="49" xfId="0" applyNumberFormat="1" applyFont="1" applyFill="1" applyBorder="1" applyProtection="1">
      <protection locked="0"/>
    </xf>
    <xf numFmtId="10" fontId="27" fillId="16" borderId="9" xfId="0" applyNumberFormat="1" applyFont="1" applyFill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horizontal="center"/>
    </xf>
    <xf numFmtId="10" fontId="7" fillId="4" borderId="9" xfId="4" applyNumberFormat="1" applyFont="1" applyFill="1" applyBorder="1" applyAlignment="1" applyProtection="1">
      <alignment horizontal="right" vertical="center" wrapText="1"/>
    </xf>
    <xf numFmtId="0" fontId="17" fillId="0" borderId="49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8" fillId="2" borderId="9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59" xfId="0" applyFont="1" applyFill="1" applyBorder="1" applyAlignment="1" applyProtection="1">
      <alignment horizontal="center" vertical="center"/>
    </xf>
    <xf numFmtId="0" fontId="3" fillId="10" borderId="60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/>
    </xf>
    <xf numFmtId="0" fontId="0" fillId="0" borderId="51" xfId="0" applyBorder="1" applyAlignment="1" applyProtection="1">
      <alignment horizontal="center"/>
    </xf>
    <xf numFmtId="0" fontId="0" fillId="0" borderId="9" xfId="0" applyBorder="1" applyAlignment="1" applyProtection="1">
      <alignment horizontal="left" wrapText="1"/>
    </xf>
    <xf numFmtId="167" fontId="3" fillId="0" borderId="9" xfId="0" applyNumberFormat="1" applyFont="1" applyBorder="1" applyAlignment="1" applyProtection="1">
      <alignment horizontal="center"/>
    </xf>
    <xf numFmtId="0" fontId="0" fillId="13" borderId="51" xfId="0" applyFill="1" applyBorder="1" applyAlignment="1" applyProtection="1">
      <alignment horizontal="center"/>
    </xf>
    <xf numFmtId="168" fontId="3" fillId="9" borderId="69" xfId="0" applyNumberFormat="1" applyFont="1" applyFill="1" applyBorder="1" applyAlignment="1" applyProtection="1">
      <alignment horizontal="center"/>
    </xf>
    <xf numFmtId="0" fontId="0" fillId="0" borderId="19" xfId="0" applyBorder="1" applyProtection="1"/>
    <xf numFmtId="0" fontId="0" fillId="0" borderId="0" xfId="0" applyBorder="1" applyProtection="1"/>
    <xf numFmtId="0" fontId="0" fillId="0" borderId="72" xfId="0" applyBorder="1" applyProtection="1"/>
    <xf numFmtId="2" fontId="0" fillId="0" borderId="72" xfId="0" applyNumberFormat="1" applyBorder="1" applyAlignment="1" applyProtection="1">
      <alignment horizontal="center"/>
    </xf>
    <xf numFmtId="167" fontId="3" fillId="9" borderId="69" xfId="0" applyNumberFormat="1" applyFont="1" applyFill="1" applyBorder="1" applyAlignment="1" applyProtection="1">
      <alignment horizontal="center"/>
    </xf>
    <xf numFmtId="0" fontId="3" fillId="12" borderId="76" xfId="0" applyFont="1" applyFill="1" applyBorder="1" applyAlignment="1" applyProtection="1">
      <alignment horizontal="center" vertical="center" wrapText="1"/>
    </xf>
    <xf numFmtId="0" fontId="3" fillId="12" borderId="72" xfId="0" applyFont="1" applyFill="1" applyBorder="1" applyAlignment="1" applyProtection="1">
      <alignment horizontal="left" wrapText="1"/>
    </xf>
    <xf numFmtId="2" fontId="3" fillId="12" borderId="72" xfId="0" applyNumberFormat="1" applyFont="1" applyFill="1" applyBorder="1" applyAlignment="1" applyProtection="1">
      <alignment horizontal="center"/>
    </xf>
    <xf numFmtId="0" fontId="3" fillId="12" borderId="72" xfId="0" applyFont="1" applyFill="1" applyBorder="1" applyProtection="1"/>
    <xf numFmtId="0" fontId="3" fillId="12" borderId="72" xfId="0" applyFont="1" applyFill="1" applyBorder="1" applyAlignment="1" applyProtection="1">
      <alignment horizontal="center"/>
    </xf>
    <xf numFmtId="167" fontId="3" fillId="12" borderId="72" xfId="0" applyNumberFormat="1" applyFont="1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left" wrapText="1"/>
    </xf>
    <xf numFmtId="2" fontId="0" fillId="11" borderId="9" xfId="0" applyNumberFormat="1" applyFill="1" applyBorder="1" applyAlignment="1" applyProtection="1">
      <alignment horizontal="center"/>
    </xf>
    <xf numFmtId="2" fontId="0" fillId="11" borderId="9" xfId="0" applyNumberFormat="1" applyFill="1" applyBorder="1" applyProtection="1"/>
    <xf numFmtId="0" fontId="0" fillId="11" borderId="9" xfId="0" applyFill="1" applyBorder="1" applyAlignment="1" applyProtection="1">
      <alignment horizontal="center"/>
    </xf>
    <xf numFmtId="0" fontId="0" fillId="11" borderId="9" xfId="0" applyFill="1" applyBorder="1" applyProtection="1"/>
    <xf numFmtId="167" fontId="3" fillId="11" borderId="9" xfId="0" applyNumberFormat="1" applyFont="1" applyFill="1" applyBorder="1" applyAlignment="1" applyProtection="1">
      <alignment horizontal="center"/>
    </xf>
    <xf numFmtId="0" fontId="0" fillId="13" borderId="9" xfId="0" applyFill="1" applyBorder="1" applyAlignment="1" applyProtection="1">
      <alignment horizontal="center"/>
    </xf>
    <xf numFmtId="168" fontId="3" fillId="11" borderId="9" xfId="0" applyNumberFormat="1" applyFont="1" applyFill="1" applyBorder="1" applyAlignment="1" applyProtection="1">
      <alignment horizontal="center"/>
    </xf>
    <xf numFmtId="0" fontId="3" fillId="11" borderId="77" xfId="0" applyFont="1" applyFill="1" applyBorder="1" applyAlignment="1" applyProtection="1">
      <alignment horizontal="center" vertical="center"/>
    </xf>
    <xf numFmtId="168" fontId="3" fillId="11" borderId="69" xfId="0" applyNumberFormat="1" applyFont="1" applyFill="1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67" fontId="3" fillId="10" borderId="81" xfId="0" applyNumberFormat="1" applyFont="1" applyFill="1" applyBorder="1" applyAlignment="1" applyProtection="1">
      <alignment horizontal="center"/>
    </xf>
    <xf numFmtId="2" fontId="11" fillId="13" borderId="9" xfId="0" applyNumberFormat="1" applyFont="1" applyFill="1" applyBorder="1" applyAlignment="1" applyProtection="1">
      <alignment horizontal="center"/>
    </xf>
    <xf numFmtId="0" fontId="3" fillId="0" borderId="63" xfId="0" applyFont="1" applyBorder="1" applyAlignment="1" applyProtection="1">
      <alignment vertical="center" wrapText="1"/>
    </xf>
    <xf numFmtId="0" fontId="3" fillId="0" borderId="64" xfId="0" applyFont="1" applyBorder="1" applyAlignment="1" applyProtection="1">
      <alignment vertical="center" wrapText="1"/>
    </xf>
    <xf numFmtId="167" fontId="0" fillId="0" borderId="62" xfId="0" applyNumberForma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7" fontId="3" fillId="0" borderId="62" xfId="0" applyNumberFormat="1" applyFont="1" applyBorder="1" applyAlignment="1" applyProtection="1">
      <alignment horizontal="center"/>
    </xf>
    <xf numFmtId="2" fontId="0" fillId="13" borderId="9" xfId="0" applyNumberFormat="1" applyFill="1" applyBorder="1" applyAlignment="1" applyProtection="1">
      <alignment horizontal="center"/>
    </xf>
    <xf numFmtId="167" fontId="3" fillId="9" borderId="70" xfId="0" applyNumberFormat="1" applyFont="1" applyFill="1" applyBorder="1" applyAlignment="1" applyProtection="1">
      <alignment horizontal="center"/>
    </xf>
    <xf numFmtId="167" fontId="0" fillId="0" borderId="75" xfId="0" applyNumberFormat="1" applyBorder="1" applyAlignment="1" applyProtection="1">
      <alignment horizontal="center"/>
    </xf>
    <xf numFmtId="167" fontId="3" fillId="12" borderId="75" xfId="0" applyNumberFormat="1" applyFont="1" applyFill="1" applyBorder="1" applyAlignment="1" applyProtection="1">
      <alignment horizontal="center"/>
    </xf>
    <xf numFmtId="0" fontId="0" fillId="13" borderId="9" xfId="0" applyFill="1" applyBorder="1" applyProtection="1"/>
    <xf numFmtId="167" fontId="0" fillId="11" borderId="62" xfId="0" applyNumberFormat="1" applyFill="1" applyBorder="1" applyAlignment="1" applyProtection="1">
      <alignment horizontal="center"/>
    </xf>
    <xf numFmtId="167" fontId="3" fillId="11" borderId="62" xfId="0" applyNumberFormat="1" applyFont="1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 vertical="center"/>
    </xf>
    <xf numFmtId="0" fontId="0" fillId="11" borderId="9" xfId="0" applyFill="1" applyBorder="1" applyAlignment="1" applyProtection="1">
      <alignment horizontal="left"/>
    </xf>
    <xf numFmtId="167" fontId="3" fillId="11" borderId="70" xfId="0" applyNumberFormat="1" applyFont="1" applyFill="1" applyBorder="1" applyAlignment="1" applyProtection="1">
      <alignment horizontal="center"/>
    </xf>
    <xf numFmtId="0" fontId="0" fillId="11" borderId="77" xfId="0" applyFill="1" applyBorder="1" applyProtection="1"/>
    <xf numFmtId="0" fontId="3" fillId="11" borderId="51" xfId="0" applyFont="1" applyFill="1" applyBorder="1" applyAlignment="1" applyProtection="1"/>
    <xf numFmtId="0" fontId="0" fillId="11" borderId="53" xfId="0" applyFill="1" applyBorder="1" applyAlignment="1" applyProtection="1"/>
    <xf numFmtId="0" fontId="0" fillId="0" borderId="72" xfId="0" applyBorder="1" applyAlignment="1" applyProtection="1">
      <alignment horizontal="left" vertical="center" wrapText="1"/>
    </xf>
    <xf numFmtId="0" fontId="0" fillId="0" borderId="72" xfId="0" applyBorder="1" applyAlignment="1" applyProtection="1">
      <alignment horizontal="center" vertical="center"/>
    </xf>
    <xf numFmtId="167" fontId="0" fillId="0" borderId="75" xfId="0" applyNumberFormat="1" applyBorder="1" applyAlignment="1" applyProtection="1">
      <alignment horizontal="center" vertical="center"/>
    </xf>
    <xf numFmtId="167" fontId="0" fillId="0" borderId="62" xfId="0" applyNumberFormat="1" applyBorder="1" applyAlignment="1" applyProtection="1">
      <alignment horizontal="center" vertical="center"/>
    </xf>
    <xf numFmtId="167" fontId="3" fillId="9" borderId="70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/>
    </xf>
    <xf numFmtId="0" fontId="3" fillId="10" borderId="58" xfId="0" applyFont="1" applyFill="1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/>
    </xf>
    <xf numFmtId="0" fontId="0" fillId="0" borderId="49" xfId="0" applyBorder="1" applyAlignment="1" applyProtection="1">
      <alignment horizontal="left"/>
    </xf>
    <xf numFmtId="2" fontId="0" fillId="0" borderId="49" xfId="0" applyNumberFormat="1" applyBorder="1" applyAlignment="1" applyProtection="1">
      <alignment horizontal="center"/>
    </xf>
    <xf numFmtId="0" fontId="0" fillId="0" borderId="87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168" fontId="3" fillId="9" borderId="70" xfId="0" applyNumberFormat="1" applyFont="1" applyFill="1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0" fontId="3" fillId="9" borderId="76" xfId="0" applyFont="1" applyFill="1" applyBorder="1" applyAlignment="1" applyProtection="1">
      <alignment horizontal="center" vertical="center" wrapText="1"/>
    </xf>
    <xf numFmtId="0" fontId="3" fillId="9" borderId="72" xfId="0" applyFont="1" applyFill="1" applyBorder="1" applyAlignment="1" applyProtection="1">
      <alignment horizontal="left" wrapText="1"/>
    </xf>
    <xf numFmtId="2" fontId="3" fillId="9" borderId="72" xfId="0" applyNumberFormat="1" applyFont="1" applyFill="1" applyBorder="1" applyAlignment="1" applyProtection="1">
      <alignment horizontal="center"/>
    </xf>
    <xf numFmtId="0" fontId="3" fillId="9" borderId="72" xfId="0" applyFont="1" applyFill="1" applyBorder="1" applyProtection="1"/>
    <xf numFmtId="0" fontId="3" fillId="9" borderId="72" xfId="0" applyFont="1" applyFill="1" applyBorder="1" applyAlignment="1" applyProtection="1">
      <alignment horizontal="center"/>
    </xf>
    <xf numFmtId="167" fontId="3" fillId="9" borderId="75" xfId="0" applyNumberFormat="1" applyFont="1" applyFill="1" applyBorder="1" applyAlignment="1" applyProtection="1">
      <alignment horizontal="center"/>
    </xf>
    <xf numFmtId="0" fontId="0" fillId="0" borderId="72" xfId="0" applyBorder="1" applyAlignment="1" applyProtection="1">
      <alignment wrapText="1"/>
    </xf>
    <xf numFmtId="167" fontId="3" fillId="10" borderId="87" xfId="0" applyNumberFormat="1" applyFont="1" applyFill="1" applyBorder="1" applyAlignment="1" applyProtection="1">
      <alignment horizontal="center"/>
    </xf>
    <xf numFmtId="0" fontId="0" fillId="0" borderId="20" xfId="0" applyBorder="1" applyProtection="1"/>
    <xf numFmtId="0" fontId="3" fillId="12" borderId="59" xfId="0" applyFont="1" applyFill="1" applyBorder="1" applyAlignment="1" applyProtection="1">
      <alignment horizontal="center" vertical="center"/>
    </xf>
    <xf numFmtId="0" fontId="3" fillId="12" borderId="60" xfId="0" applyFont="1" applyFill="1" applyBorder="1" applyAlignment="1" applyProtection="1">
      <alignment horizontal="center" vertical="center"/>
    </xf>
    <xf numFmtId="0" fontId="0" fillId="11" borderId="62" xfId="0" applyFill="1" applyBorder="1" applyAlignment="1" applyProtection="1">
      <alignment horizontal="center"/>
    </xf>
    <xf numFmtId="168" fontId="3" fillId="11" borderId="70" xfId="0" applyNumberFormat="1" applyFont="1" applyFill="1" applyBorder="1" applyAlignment="1" applyProtection="1">
      <alignment horizontal="center"/>
    </xf>
    <xf numFmtId="0" fontId="0" fillId="11" borderId="72" xfId="0" applyFill="1" applyBorder="1" applyProtection="1"/>
    <xf numFmtId="0" fontId="0" fillId="11" borderId="72" xfId="0" applyFill="1" applyBorder="1" applyAlignment="1" applyProtection="1">
      <alignment horizontal="center"/>
    </xf>
    <xf numFmtId="0" fontId="0" fillId="11" borderId="75" xfId="0" applyFill="1" applyBorder="1" applyAlignment="1" applyProtection="1">
      <alignment horizontal="center"/>
    </xf>
    <xf numFmtId="0" fontId="3" fillId="14" borderId="76" xfId="0" applyFont="1" applyFill="1" applyBorder="1" applyAlignment="1" applyProtection="1">
      <alignment horizontal="center" vertical="center" wrapText="1"/>
    </xf>
    <xf numFmtId="0" fontId="3" fillId="14" borderId="72" xfId="0" applyFont="1" applyFill="1" applyBorder="1" applyAlignment="1" applyProtection="1">
      <alignment horizontal="left" wrapText="1"/>
    </xf>
    <xf numFmtId="0" fontId="3" fillId="14" borderId="72" xfId="0" applyFont="1" applyFill="1" applyBorder="1" applyProtection="1"/>
    <xf numFmtId="0" fontId="3" fillId="14" borderId="72" xfId="0" applyFont="1" applyFill="1" applyBorder="1" applyAlignment="1" applyProtection="1">
      <alignment horizontal="center"/>
    </xf>
    <xf numFmtId="167" fontId="3" fillId="14" borderId="75" xfId="0" applyNumberFormat="1" applyFont="1" applyFill="1" applyBorder="1" applyAlignment="1" applyProtection="1">
      <alignment horizontal="center"/>
    </xf>
    <xf numFmtId="0" fontId="0" fillId="15" borderId="9" xfId="0" applyFill="1" applyBorder="1" applyProtection="1"/>
    <xf numFmtId="0" fontId="0" fillId="15" borderId="9" xfId="0" applyFill="1" applyBorder="1" applyAlignment="1" applyProtection="1">
      <alignment horizontal="left" wrapText="1"/>
    </xf>
    <xf numFmtId="2" fontId="0" fillId="15" borderId="9" xfId="0" applyNumberFormat="1" applyFill="1" applyBorder="1" applyAlignment="1" applyProtection="1">
      <alignment horizontal="center"/>
    </xf>
    <xf numFmtId="2" fontId="0" fillId="15" borderId="9" xfId="0" applyNumberFormat="1" applyFill="1" applyBorder="1" applyProtection="1"/>
    <xf numFmtId="0" fontId="0" fillId="15" borderId="9" xfId="0" applyFill="1" applyBorder="1" applyAlignment="1" applyProtection="1">
      <alignment horizontal="center"/>
    </xf>
    <xf numFmtId="0" fontId="0" fillId="15" borderId="62" xfId="0" applyFill="1" applyBorder="1" applyAlignment="1" applyProtection="1">
      <alignment horizontal="center"/>
    </xf>
    <xf numFmtId="167" fontId="3" fillId="15" borderId="62" xfId="0" applyNumberFormat="1" applyFont="1" applyFill="1" applyBorder="1" applyAlignment="1" applyProtection="1">
      <alignment horizontal="center"/>
    </xf>
    <xf numFmtId="168" fontId="3" fillId="15" borderId="62" xfId="0" applyNumberFormat="1" applyFont="1" applyFill="1" applyBorder="1" applyAlignment="1" applyProtection="1">
      <alignment horizontal="center"/>
    </xf>
    <xf numFmtId="0" fontId="3" fillId="15" borderId="77" xfId="0" applyFont="1" applyFill="1" applyBorder="1" applyAlignment="1" applyProtection="1">
      <alignment horizontal="center" vertical="center"/>
    </xf>
    <xf numFmtId="167" fontId="3" fillId="15" borderId="70" xfId="0" applyNumberFormat="1" applyFont="1" applyFill="1" applyBorder="1" applyAlignment="1" applyProtection="1">
      <alignment horizontal="center"/>
    </xf>
    <xf numFmtId="168" fontId="3" fillId="15" borderId="90" xfId="0" applyNumberFormat="1" applyFont="1" applyFill="1" applyBorder="1" applyAlignment="1" applyProtection="1">
      <alignment horizontal="center"/>
    </xf>
    <xf numFmtId="0" fontId="0" fillId="0" borderId="72" xfId="0" applyFont="1" applyFill="1" applyBorder="1" applyAlignment="1" applyProtection="1">
      <alignment horizontal="left"/>
    </xf>
    <xf numFmtId="0" fontId="0" fillId="0" borderId="72" xfId="0" applyFont="1" applyFill="1" applyBorder="1" applyAlignment="1" applyProtection="1">
      <alignment horizontal="center"/>
    </xf>
    <xf numFmtId="0" fontId="0" fillId="0" borderId="91" xfId="0" applyFill="1" applyBorder="1" applyAlignment="1" applyProtection="1">
      <alignment horizontal="center"/>
    </xf>
    <xf numFmtId="0" fontId="0" fillId="0" borderId="48" xfId="0" applyFont="1" applyFill="1" applyBorder="1" applyAlignment="1" applyProtection="1">
      <alignment horizontal="left"/>
    </xf>
    <xf numFmtId="0" fontId="0" fillId="0" borderId="48" xfId="0" applyFont="1" applyFill="1" applyBorder="1" applyAlignment="1" applyProtection="1">
      <alignment horizontal="center"/>
    </xf>
    <xf numFmtId="0" fontId="3" fillId="0" borderId="62" xfId="0" applyFont="1" applyFill="1" applyBorder="1" applyAlignment="1" applyProtection="1">
      <alignment horizontal="center"/>
    </xf>
    <xf numFmtId="168" fontId="3" fillId="0" borderId="70" xfId="0" applyNumberFormat="1" applyFont="1" applyFill="1" applyBorder="1" applyAlignment="1" applyProtection="1">
      <alignment horizontal="center"/>
    </xf>
    <xf numFmtId="169" fontId="0" fillId="11" borderId="9" xfId="0" applyNumberFormat="1" applyFill="1" applyBorder="1" applyAlignment="1" applyProtection="1">
      <alignment horizontal="center"/>
    </xf>
    <xf numFmtId="2" fontId="0" fillId="11" borderId="72" xfId="0" applyNumberFormat="1" applyFill="1" applyBorder="1" applyAlignment="1" applyProtection="1">
      <alignment horizontal="center"/>
    </xf>
    <xf numFmtId="169" fontId="3" fillId="14" borderId="72" xfId="0" applyNumberFormat="1" applyFont="1" applyFill="1" applyBorder="1" applyAlignment="1" applyProtection="1">
      <alignment horizontal="center"/>
    </xf>
    <xf numFmtId="0" fontId="3" fillId="9" borderId="6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/>
    <xf numFmtId="166" fontId="7" fillId="4" borderId="1" xfId="0" applyNumberFormat="1" applyFont="1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166" fontId="11" fillId="5" borderId="1" xfId="0" applyNumberFormat="1" applyFont="1" applyFill="1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166" fontId="11" fillId="5" borderId="1" xfId="1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top" wrapText="1"/>
    </xf>
    <xf numFmtId="2" fontId="11" fillId="0" borderId="1" xfId="1" applyNumberFormat="1" applyFont="1" applyBorder="1" applyAlignment="1" applyProtection="1">
      <alignment horizontal="center"/>
    </xf>
    <xf numFmtId="2" fontId="11" fillId="0" borderId="1" xfId="0" applyNumberFormat="1" applyFont="1" applyBorder="1" applyAlignment="1" applyProtection="1">
      <alignment horizontal="center"/>
    </xf>
    <xf numFmtId="166" fontId="11" fillId="5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/>
    <xf numFmtId="166" fontId="7" fillId="3" borderId="1" xfId="0" applyNumberFormat="1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166" fontId="11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1" xfId="0" applyFont="1" applyFill="1" applyBorder="1" applyAlignment="1" applyProtection="1">
      <alignment vertical="center"/>
    </xf>
    <xf numFmtId="0" fontId="22" fillId="3" borderId="1" xfId="0" applyFont="1" applyFill="1" applyBorder="1" applyAlignment="1" applyProtection="1"/>
    <xf numFmtId="0" fontId="12" fillId="0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/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wrapText="1"/>
    </xf>
    <xf numFmtId="0" fontId="11" fillId="0" borderId="1" xfId="0" applyNumberFormat="1" applyFont="1" applyFill="1" applyBorder="1" applyAlignment="1" applyProtection="1">
      <alignment vertical="center" wrapText="1"/>
    </xf>
    <xf numFmtId="166" fontId="0" fillId="5" borderId="1" xfId="0" applyNumberFormat="1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44" fontId="0" fillId="0" borderId="1" xfId="1" applyFont="1" applyBorder="1" applyAlignment="1" applyProtection="1"/>
    <xf numFmtId="166" fontId="21" fillId="8" borderId="1" xfId="0" applyNumberFormat="1" applyFont="1" applyFill="1" applyBorder="1" applyAlignment="1" applyProtection="1">
      <alignment horizontal="center"/>
    </xf>
    <xf numFmtId="2" fontId="11" fillId="0" borderId="9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1" xfId="4" applyNumberFormat="1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left" vertical="top" wrapText="1"/>
    </xf>
    <xf numFmtId="0" fontId="19" fillId="8" borderId="1" xfId="0" applyFont="1" applyFill="1" applyBorder="1" applyAlignment="1" applyProtection="1">
      <alignment horizontal="right"/>
    </xf>
    <xf numFmtId="0" fontId="23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left" vertical="center" wrapText="1"/>
    </xf>
    <xf numFmtId="0" fontId="35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</xf>
    <xf numFmtId="0" fontId="19" fillId="2" borderId="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10" fontId="3" fillId="0" borderId="9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10" fontId="0" fillId="0" borderId="9" xfId="4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</xf>
    <xf numFmtId="0" fontId="18" fillId="0" borderId="24" xfId="0" applyFont="1" applyBorder="1" applyAlignment="1" applyProtection="1">
      <alignment horizontal="center"/>
    </xf>
    <xf numFmtId="0" fontId="18" fillId="0" borderId="25" xfId="0" applyFont="1" applyBorder="1" applyAlignment="1" applyProtection="1">
      <alignment horizontal="center"/>
    </xf>
    <xf numFmtId="0" fontId="18" fillId="0" borderId="26" xfId="0" applyFont="1" applyBorder="1" applyAlignment="1" applyProtection="1">
      <alignment horizontal="center"/>
    </xf>
    <xf numFmtId="0" fontId="29" fillId="0" borderId="35" xfId="5" applyFont="1" applyBorder="1" applyAlignment="1" applyProtection="1">
      <alignment horizontal="left" vertical="center"/>
    </xf>
    <xf numFmtId="0" fontId="29" fillId="0" borderId="36" xfId="5" applyFont="1" applyBorder="1" applyAlignment="1" applyProtection="1">
      <alignment horizontal="left" vertical="center"/>
    </xf>
    <xf numFmtId="0" fontId="29" fillId="0" borderId="37" xfId="5" applyFont="1" applyBorder="1" applyAlignment="1" applyProtection="1">
      <alignment horizontal="left" vertical="center"/>
    </xf>
    <xf numFmtId="0" fontId="29" fillId="0" borderId="32" xfId="5" applyFont="1" applyBorder="1" applyAlignment="1" applyProtection="1">
      <alignment horizontal="left" vertical="center"/>
    </xf>
    <xf numFmtId="0" fontId="29" fillId="0" borderId="0" xfId="5" applyFont="1" applyBorder="1" applyAlignment="1" applyProtection="1">
      <alignment horizontal="left" vertical="center"/>
    </xf>
    <xf numFmtId="0" fontId="29" fillId="0" borderId="33" xfId="5" applyFont="1" applyBorder="1" applyAlignment="1" applyProtection="1">
      <alignment horizontal="left" vertical="center"/>
    </xf>
    <xf numFmtId="0" fontId="29" fillId="0" borderId="44" xfId="5" applyFont="1" applyBorder="1" applyAlignment="1" applyProtection="1">
      <alignment horizontal="left" vertical="center"/>
    </xf>
    <xf numFmtId="0" fontId="29" fillId="0" borderId="25" xfId="5" applyFont="1" applyBorder="1" applyAlignment="1" applyProtection="1">
      <alignment horizontal="left" vertical="center"/>
    </xf>
    <xf numFmtId="0" fontId="29" fillId="0" borderId="45" xfId="5" applyFont="1" applyBorder="1" applyAlignment="1" applyProtection="1">
      <alignment horizontal="left" vertical="center"/>
    </xf>
    <xf numFmtId="0" fontId="29" fillId="0" borderId="19" xfId="5" applyFont="1" applyBorder="1" applyAlignment="1" applyProtection="1">
      <alignment vertical="center" wrapText="1"/>
    </xf>
    <xf numFmtId="0" fontId="29" fillId="0" borderId="0" xfId="5" applyFont="1" applyBorder="1" applyAlignment="1" applyProtection="1">
      <alignment vertical="center" wrapText="1"/>
    </xf>
    <xf numFmtId="0" fontId="29" fillId="0" borderId="20" xfId="5" applyFont="1" applyBorder="1" applyAlignment="1" applyProtection="1">
      <alignment vertical="center" wrapText="1"/>
    </xf>
    <xf numFmtId="0" fontId="29" fillId="0" borderId="21" xfId="5" applyFont="1" applyBorder="1" applyAlignment="1" applyProtection="1">
      <alignment vertical="center" wrapText="1"/>
    </xf>
    <xf numFmtId="0" fontId="29" fillId="0" borderId="22" xfId="5" applyFont="1" applyBorder="1" applyAlignment="1" applyProtection="1">
      <alignment vertical="center" wrapText="1"/>
    </xf>
    <xf numFmtId="0" fontId="29" fillId="0" borderId="23" xfId="5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1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29" fillId="0" borderId="28" xfId="5" applyFont="1" applyBorder="1" applyAlignment="1" applyProtection="1">
      <alignment horizontal="left" vertical="center"/>
    </xf>
    <xf numFmtId="0" fontId="29" fillId="0" borderId="29" xfId="5" applyFont="1" applyBorder="1" applyAlignment="1" applyProtection="1">
      <alignment horizontal="left" vertical="center"/>
    </xf>
    <xf numFmtId="0" fontId="29" fillId="0" borderId="30" xfId="5" applyFont="1" applyBorder="1" applyAlignment="1" applyProtection="1">
      <alignment horizontal="left" vertical="center"/>
    </xf>
    <xf numFmtId="0" fontId="35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 wrapText="1"/>
    </xf>
    <xf numFmtId="0" fontId="31" fillId="0" borderId="21" xfId="5" applyFont="1" applyBorder="1" applyAlignment="1" applyProtection="1">
      <alignment horizontal="center" vertical="center"/>
    </xf>
    <xf numFmtId="0" fontId="31" fillId="0" borderId="22" xfId="5" applyFont="1" applyBorder="1" applyAlignment="1" applyProtection="1">
      <alignment horizontal="center" vertical="center"/>
    </xf>
    <xf numFmtId="0" fontId="31" fillId="0" borderId="23" xfId="5" applyFont="1" applyBorder="1" applyAlignment="1" applyProtection="1">
      <alignment horizontal="center" vertical="center"/>
    </xf>
    <xf numFmtId="0" fontId="29" fillId="0" borderId="14" xfId="5" applyFont="1" applyBorder="1" applyAlignment="1" applyProtection="1">
      <alignment horizontal="center" vertical="center"/>
    </xf>
    <xf numFmtId="0" fontId="29" fillId="0" borderId="15" xfId="5" applyFont="1" applyBorder="1" applyAlignment="1" applyProtection="1">
      <alignment horizontal="center" vertical="center"/>
    </xf>
    <xf numFmtId="0" fontId="29" fillId="0" borderId="39" xfId="5" applyFont="1" applyBorder="1" applyAlignment="1" applyProtection="1">
      <alignment horizontal="center" vertical="center"/>
    </xf>
    <xf numFmtId="0" fontId="31" fillId="0" borderId="14" xfId="5" applyFont="1" applyBorder="1" applyAlignment="1" applyProtection="1">
      <alignment horizontal="center" vertical="center"/>
    </xf>
    <xf numFmtId="0" fontId="31" fillId="0" borderId="15" xfId="5" applyFont="1" applyBorder="1" applyAlignment="1" applyProtection="1">
      <alignment horizontal="center" vertical="center"/>
    </xf>
    <xf numFmtId="0" fontId="31" fillId="0" borderId="39" xfId="5" applyFont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left" wrapText="1"/>
    </xf>
    <xf numFmtId="0" fontId="3" fillId="0" borderId="51" xfId="0" applyFont="1" applyBorder="1" applyAlignment="1" applyProtection="1">
      <alignment horizont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23" fillId="0" borderId="92" xfId="0" applyFont="1" applyFill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0" fillId="9" borderId="51" xfId="0" applyFill="1" applyBorder="1" applyAlignment="1" applyProtection="1">
      <alignment horizontal="center"/>
    </xf>
    <xf numFmtId="0" fontId="0" fillId="9" borderId="53" xfId="0" applyFill="1" applyBorder="1" applyAlignment="1" applyProtection="1">
      <alignment horizontal="center"/>
    </xf>
    <xf numFmtId="0" fontId="3" fillId="9" borderId="51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5" fillId="0" borderId="50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10" fontId="0" fillId="0" borderId="48" xfId="4" applyNumberFormat="1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/>
    </xf>
    <xf numFmtId="0" fontId="0" fillId="0" borderId="52" xfId="0" applyFill="1" applyBorder="1" applyAlignment="1" applyProtection="1">
      <alignment horizontal="center"/>
    </xf>
    <xf numFmtId="0" fontId="17" fillId="0" borderId="51" xfId="0" applyFont="1" applyBorder="1" applyAlignment="1" applyProtection="1">
      <alignment horizontal="left" vertical="center" wrapText="1"/>
    </xf>
    <xf numFmtId="0" fontId="17" fillId="0" borderId="53" xfId="0" applyFont="1" applyBorder="1" applyAlignment="1" applyProtection="1">
      <alignment horizontal="left" vertical="center" wrapText="1"/>
    </xf>
    <xf numFmtId="0" fontId="17" fillId="0" borderId="51" xfId="0" applyFont="1" applyBorder="1" applyAlignment="1" applyProtection="1">
      <alignment horizontal="left"/>
    </xf>
    <xf numFmtId="0" fontId="17" fillId="0" borderId="53" xfId="0" applyFont="1" applyBorder="1" applyAlignment="1" applyProtection="1">
      <alignment horizontal="left"/>
    </xf>
    <xf numFmtId="0" fontId="7" fillId="4" borderId="9" xfId="0" applyFont="1" applyFill="1" applyBorder="1" applyAlignment="1" applyProtection="1">
      <alignment horizontal="center" vertical="center" wrapText="1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50" xfId="0" applyFont="1" applyFill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3" fillId="0" borderId="61" xfId="0" applyFont="1" applyBorder="1" applyAlignment="1" applyProtection="1">
      <alignment horizontal="center" vertical="center" wrapText="1"/>
    </xf>
    <xf numFmtId="0" fontId="3" fillId="0" borderId="64" xfId="0" applyFont="1" applyBorder="1" applyAlignment="1" applyProtection="1">
      <alignment horizontal="center" vertical="center" wrapText="1"/>
    </xf>
    <xf numFmtId="0" fontId="3" fillId="0" borderId="63" xfId="0" applyFont="1" applyBorder="1" applyAlignment="1" applyProtection="1">
      <alignment horizontal="center" vertical="center" wrapText="1"/>
    </xf>
    <xf numFmtId="0" fontId="3" fillId="10" borderId="58" xfId="0" applyFont="1" applyFill="1" applyBorder="1" applyAlignment="1" applyProtection="1">
      <alignment horizontal="center" vertical="center"/>
    </xf>
    <xf numFmtId="0" fontId="3" fillId="10" borderId="59" xfId="0" applyFont="1" applyFill="1" applyBorder="1" applyAlignment="1" applyProtection="1">
      <alignment horizontal="center" vertical="center"/>
    </xf>
    <xf numFmtId="0" fontId="3" fillId="10" borderId="59" xfId="0" applyFont="1" applyFill="1" applyBorder="1" applyAlignment="1" applyProtection="1">
      <alignment horizontal="center" vertical="center" wrapText="1"/>
    </xf>
    <xf numFmtId="0" fontId="3" fillId="10" borderId="60" xfId="0" applyFont="1" applyFill="1" applyBorder="1" applyAlignment="1" applyProtection="1">
      <alignment horizontal="center" vertical="center" wrapText="1"/>
    </xf>
    <xf numFmtId="0" fontId="0" fillId="13" borderId="51" xfId="0" applyFill="1" applyBorder="1" applyAlignment="1" applyProtection="1">
      <alignment horizontal="center"/>
    </xf>
    <xf numFmtId="0" fontId="0" fillId="13" borderId="53" xfId="0" applyFill="1" applyBorder="1" applyAlignment="1" applyProtection="1">
      <alignment horizont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9" borderId="66" xfId="0" applyFont="1" applyFill="1" applyBorder="1" applyAlignment="1" applyProtection="1">
      <alignment horizontal="center"/>
    </xf>
    <xf numFmtId="0" fontId="3" fillId="9" borderId="67" xfId="0" applyFont="1" applyFill="1" applyBorder="1" applyAlignment="1" applyProtection="1">
      <alignment horizontal="center"/>
    </xf>
    <xf numFmtId="0" fontId="3" fillId="11" borderId="61" xfId="0" applyFont="1" applyFill="1" applyBorder="1" applyAlignment="1" applyProtection="1">
      <alignment horizontal="center" vertical="center"/>
    </xf>
    <xf numFmtId="0" fontId="3" fillId="11" borderId="64" xfId="0" applyFont="1" applyFill="1" applyBorder="1" applyAlignment="1" applyProtection="1">
      <alignment horizontal="center" vertical="center"/>
    </xf>
    <xf numFmtId="0" fontId="0" fillId="11" borderId="9" xfId="0" applyFill="1" applyBorder="1" applyAlignment="1" applyProtection="1">
      <alignment horizontal="center"/>
    </xf>
    <xf numFmtId="168" fontId="3" fillId="12" borderId="72" xfId="0" applyNumberFormat="1" applyFont="1" applyFill="1" applyBorder="1" applyAlignment="1" applyProtection="1">
      <alignment horizontal="center"/>
    </xf>
    <xf numFmtId="0" fontId="3" fillId="12" borderId="72" xfId="0" applyFont="1" applyFill="1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3" fillId="0" borderId="71" xfId="0" applyFont="1" applyBorder="1" applyAlignment="1" applyProtection="1">
      <alignment horizontal="center" vertical="center"/>
    </xf>
    <xf numFmtId="0" fontId="0" fillId="13" borderId="73" xfId="0" applyFill="1" applyBorder="1" applyAlignment="1" applyProtection="1">
      <alignment horizontal="center"/>
    </xf>
    <xf numFmtId="0" fontId="0" fillId="13" borderId="74" xfId="0" applyFill="1" applyBorder="1" applyAlignment="1" applyProtection="1">
      <alignment horizontal="center"/>
    </xf>
    <xf numFmtId="0" fontId="0" fillId="9" borderId="67" xfId="0" applyFill="1" applyBorder="1" applyAlignment="1" applyProtection="1">
      <alignment horizontal="center"/>
    </xf>
    <xf numFmtId="0" fontId="0" fillId="9" borderId="68" xfId="0" applyFill="1" applyBorder="1" applyAlignment="1" applyProtection="1">
      <alignment horizontal="center"/>
    </xf>
    <xf numFmtId="0" fontId="3" fillId="11" borderId="65" xfId="0" applyFont="1" applyFill="1" applyBorder="1" applyAlignment="1" applyProtection="1">
      <alignment horizontal="center"/>
    </xf>
    <xf numFmtId="0" fontId="3" fillId="11" borderId="52" xfId="0" applyFont="1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0" fillId="11" borderId="52" xfId="0" applyFill="1" applyBorder="1" applyAlignment="1" applyProtection="1">
      <alignment horizontal="center"/>
    </xf>
    <xf numFmtId="0" fontId="0" fillId="11" borderId="53" xfId="0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0" fillId="13" borderId="9" xfId="0" applyFill="1" applyBorder="1" applyAlignment="1" applyProtection="1">
      <alignment horizontal="center"/>
    </xf>
    <xf numFmtId="0" fontId="3" fillId="10" borderId="24" xfId="0" applyFont="1" applyFill="1" applyBorder="1" applyAlignment="1" applyProtection="1">
      <alignment horizontal="center"/>
    </xf>
    <xf numFmtId="0" fontId="0" fillId="10" borderId="25" xfId="0" applyFill="1" applyBorder="1" applyAlignment="1" applyProtection="1">
      <alignment horizontal="center"/>
    </xf>
    <xf numFmtId="0" fontId="0" fillId="10" borderId="56" xfId="0" applyFill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168" fontId="0" fillId="0" borderId="72" xfId="0" applyNumberFormat="1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168" fontId="0" fillId="0" borderId="9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68" fontId="0" fillId="11" borderId="9" xfId="0" applyNumberFormat="1" applyFill="1" applyBorder="1" applyAlignment="1" applyProtection="1">
      <alignment horizontal="center"/>
    </xf>
    <xf numFmtId="0" fontId="3" fillId="11" borderId="7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10" borderId="80" xfId="0" applyFont="1" applyFill="1" applyBorder="1" applyAlignment="1" applyProtection="1">
      <alignment horizontal="center" vertical="center" wrapText="1"/>
    </xf>
    <xf numFmtId="0" fontId="0" fillId="11" borderId="51" xfId="0" applyFill="1" applyBorder="1" applyAlignment="1" applyProtection="1">
      <alignment horizontal="center"/>
    </xf>
    <xf numFmtId="0" fontId="3" fillId="11" borderId="82" xfId="0" applyFont="1" applyFill="1" applyBorder="1" applyAlignment="1" applyProtection="1">
      <alignment horizontal="center" vertical="center"/>
    </xf>
    <xf numFmtId="0" fontId="3" fillId="11" borderId="60" xfId="0" applyFont="1" applyFill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 vertical="center"/>
    </xf>
    <xf numFmtId="168" fontId="0" fillId="11" borderId="51" xfId="0" applyNumberFormat="1" applyFill="1" applyBorder="1" applyAlignment="1" applyProtection="1">
      <alignment horizont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52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168" fontId="0" fillId="0" borderId="72" xfId="0" applyNumberFormat="1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168" fontId="0" fillId="0" borderId="9" xfId="0" applyNumberFormat="1" applyBorder="1" applyAlignment="1" applyProtection="1">
      <alignment horizontal="center" vertical="center"/>
    </xf>
    <xf numFmtId="0" fontId="3" fillId="9" borderId="66" xfId="0" applyFont="1" applyFill="1" applyBorder="1" applyAlignment="1" applyProtection="1">
      <alignment horizontal="center" vertical="center"/>
    </xf>
    <xf numFmtId="0" fontId="0" fillId="9" borderId="67" xfId="0" applyFill="1" applyBorder="1" applyAlignment="1" applyProtection="1">
      <alignment horizontal="center" vertical="center"/>
    </xf>
    <xf numFmtId="0" fontId="0" fillId="9" borderId="68" xfId="0" applyFill="1" applyBorder="1" applyAlignment="1" applyProtection="1">
      <alignment horizontal="center" vertical="center"/>
    </xf>
    <xf numFmtId="0" fontId="3" fillId="10" borderId="84" xfId="0" applyFont="1" applyFill="1" applyBorder="1" applyAlignment="1" applyProtection="1">
      <alignment horizontal="center" vertical="center" wrapText="1"/>
    </xf>
    <xf numFmtId="0" fontId="0" fillId="0" borderId="85" xfId="0" applyBorder="1" applyAlignment="1" applyProtection="1">
      <alignment horizontal="center"/>
    </xf>
    <xf numFmtId="0" fontId="0" fillId="0" borderId="86" xfId="0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3" fillId="9" borderId="72" xfId="0" applyFont="1" applyFill="1" applyBorder="1" applyAlignment="1" applyProtection="1">
      <alignment horizontal="center"/>
    </xf>
    <xf numFmtId="0" fontId="3" fillId="10" borderId="88" xfId="0" applyFont="1" applyFill="1" applyBorder="1" applyAlignment="1" applyProtection="1">
      <alignment horizontal="center"/>
    </xf>
    <xf numFmtId="0" fontId="0" fillId="10" borderId="50" xfId="0" applyFill="1" applyBorder="1" applyAlignment="1" applyProtection="1">
      <alignment horizontal="center"/>
    </xf>
    <xf numFmtId="0" fontId="0" fillId="10" borderId="86" xfId="0" applyFill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79" xfId="0" applyFont="1" applyBorder="1" applyAlignment="1" applyProtection="1">
      <alignment horizontal="center"/>
    </xf>
    <xf numFmtId="0" fontId="3" fillId="12" borderId="58" xfId="0" applyFont="1" applyFill="1" applyBorder="1" applyAlignment="1" applyProtection="1">
      <alignment horizontal="center" vertical="center"/>
    </xf>
    <xf numFmtId="0" fontId="3" fillId="12" borderId="59" xfId="0" applyFont="1" applyFill="1" applyBorder="1" applyAlignment="1" applyProtection="1">
      <alignment horizontal="center" vertical="center"/>
    </xf>
    <xf numFmtId="0" fontId="3" fillId="12" borderId="59" xfId="0" applyFont="1" applyFill="1" applyBorder="1" applyAlignment="1" applyProtection="1">
      <alignment horizontal="center" vertical="center" wrapText="1"/>
    </xf>
    <xf numFmtId="0" fontId="3" fillId="12" borderId="60" xfId="0" applyFont="1" applyFill="1" applyBorder="1" applyAlignment="1" applyProtection="1">
      <alignment horizontal="center" vertical="center" wrapText="1"/>
    </xf>
    <xf numFmtId="0" fontId="3" fillId="11" borderId="77" xfId="0" applyFont="1" applyFill="1" applyBorder="1" applyAlignment="1" applyProtection="1">
      <alignment horizontal="center" vertical="center" wrapText="1"/>
    </xf>
    <xf numFmtId="0" fontId="3" fillId="11" borderId="61" xfId="0" applyFont="1" applyFill="1" applyBorder="1" applyAlignment="1" applyProtection="1">
      <alignment horizontal="center" vertical="center" wrapText="1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4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 vertical="center"/>
    </xf>
    <xf numFmtId="0" fontId="0" fillId="11" borderId="67" xfId="0" applyFill="1" applyBorder="1" applyAlignment="1" applyProtection="1">
      <alignment horizontal="center"/>
    </xf>
    <xf numFmtId="0" fontId="0" fillId="11" borderId="68" xfId="0" applyFill="1" applyBorder="1" applyAlignment="1" applyProtection="1">
      <alignment horizontal="center"/>
    </xf>
    <xf numFmtId="168" fontId="3" fillId="14" borderId="72" xfId="0" applyNumberFormat="1" applyFont="1" applyFill="1" applyBorder="1" applyAlignment="1" applyProtection="1">
      <alignment horizontal="center"/>
    </xf>
    <xf numFmtId="0" fontId="3" fillId="14" borderId="72" xfId="0" applyFont="1" applyFill="1" applyBorder="1" applyAlignment="1" applyProtection="1">
      <alignment horizontal="center"/>
    </xf>
    <xf numFmtId="0" fontId="3" fillId="15" borderId="61" xfId="0" applyFont="1" applyFill="1" applyBorder="1" applyAlignment="1" applyProtection="1">
      <alignment horizontal="center" vertical="center"/>
    </xf>
    <xf numFmtId="0" fontId="3" fillId="15" borderId="64" xfId="0" applyFont="1" applyFill="1" applyBorder="1" applyAlignment="1" applyProtection="1">
      <alignment horizontal="center" vertical="center"/>
    </xf>
    <xf numFmtId="0" fontId="0" fillId="15" borderId="9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0" fillId="15" borderId="52" xfId="0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52" xfId="0" applyFont="1" applyFill="1" applyBorder="1" applyAlignment="1" applyProtection="1">
      <alignment horizontal="center"/>
    </xf>
    <xf numFmtId="0" fontId="3" fillId="15" borderId="53" xfId="0" applyFont="1" applyFill="1" applyBorder="1" applyAlignment="1" applyProtection="1">
      <alignment horizontal="center"/>
    </xf>
    <xf numFmtId="0" fontId="3" fillId="15" borderId="66" xfId="0" applyFont="1" applyFill="1" applyBorder="1" applyAlignment="1" applyProtection="1">
      <alignment horizontal="center"/>
    </xf>
    <xf numFmtId="0" fontId="0" fillId="15" borderId="67" xfId="0" applyFill="1" applyBorder="1" applyAlignment="1" applyProtection="1">
      <alignment horizontal="center"/>
    </xf>
    <xf numFmtId="0" fontId="0" fillId="15" borderId="68" xfId="0" applyFill="1" applyBorder="1" applyAlignment="1" applyProtection="1">
      <alignment horizontal="center"/>
    </xf>
    <xf numFmtId="168" fontId="0" fillId="15" borderId="73" xfId="0" applyNumberFormat="1" applyFill="1" applyBorder="1" applyAlignment="1" applyProtection="1">
      <alignment horizontal="center"/>
    </xf>
    <xf numFmtId="168" fontId="0" fillId="15" borderId="74" xfId="0" applyNumberForma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/>
    </xf>
    <xf numFmtId="0" fontId="3" fillId="15" borderId="89" xfId="0" applyFont="1" applyFill="1" applyBorder="1" applyAlignment="1" applyProtection="1">
      <alignment horizontal="center"/>
    </xf>
    <xf numFmtId="0" fontId="3" fillId="0" borderId="76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168" fontId="0" fillId="0" borderId="73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center"/>
    </xf>
    <xf numFmtId="168" fontId="0" fillId="0" borderId="55" xfId="0" applyNumberFormat="1" applyFont="1" applyFill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/>
    </xf>
    <xf numFmtId="0" fontId="3" fillId="0" borderId="65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/>
    </xf>
    <xf numFmtId="0" fontId="3" fillId="0" borderId="69" xfId="0" applyFont="1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3" fillId="9" borderId="65" xfId="0" applyFont="1" applyFill="1" applyBorder="1" applyAlignment="1" applyProtection="1">
      <alignment horizontal="center" vertical="center"/>
    </xf>
    <xf numFmtId="0" fontId="3" fillId="9" borderId="52" xfId="0" applyFont="1" applyFill="1" applyBorder="1" applyAlignment="1" applyProtection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81643</xdr:rowOff>
    </xdr:from>
    <xdr:to>
      <xdr:col>1</xdr:col>
      <xdr:colOff>2836407</xdr:colOff>
      <xdr:row>41</xdr:row>
      <xdr:rowOff>653143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2315714"/>
          <a:ext cx="270033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23</xdr:row>
      <xdr:rowOff>31749</xdr:rowOff>
    </xdr:from>
    <xdr:to>
      <xdr:col>8</xdr:col>
      <xdr:colOff>176464</xdr:colOff>
      <xdr:row>26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35</xdr:row>
      <xdr:rowOff>42333</xdr:rowOff>
    </xdr:from>
    <xdr:to>
      <xdr:col>8</xdr:col>
      <xdr:colOff>841376</xdr:colOff>
      <xdr:row>47</xdr:row>
      <xdr:rowOff>0</xdr:rowOff>
    </xdr:to>
    <xdr:grpSp>
      <xdr:nvGrpSpPr>
        <xdr:cNvPr id="2" name="Agrupar 1"/>
        <xdr:cNvGrpSpPr/>
      </xdr:nvGrpSpPr>
      <xdr:grpSpPr>
        <a:xfrm>
          <a:off x="1" y="8576733"/>
          <a:ext cx="5965825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topLeftCell="A13" zoomScale="85" zoomScaleNormal="90" zoomScaleSheetLayoutView="85" workbookViewId="0">
      <selection activeCell="I15" sqref="I15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16" bestFit="1" customWidth="1"/>
    <col min="6" max="6" width="18.28515625" style="17" customWidth="1"/>
    <col min="7" max="7" width="15" style="17" bestFit="1" customWidth="1"/>
    <col min="8" max="8" width="15.28515625" style="16" bestFit="1" customWidth="1"/>
    <col min="9" max="9" width="9.140625" style="2"/>
    <col min="10" max="10" width="9.28515625" style="2" customWidth="1"/>
    <col min="11" max="16384" width="9.140625" style="2"/>
  </cols>
  <sheetData>
    <row r="1" spans="1:11" ht="90" customHeight="1" x14ac:dyDescent="0.25">
      <c r="A1" s="376" t="s">
        <v>806</v>
      </c>
      <c r="B1" s="376"/>
      <c r="C1" s="376"/>
      <c r="D1" s="376"/>
      <c r="E1" s="376"/>
      <c r="F1" s="376"/>
      <c r="G1" s="376"/>
      <c r="H1" s="376"/>
    </row>
    <row r="2" spans="1:11" ht="24" customHeight="1" x14ac:dyDescent="0.25">
      <c r="A2" s="378" t="s">
        <v>51</v>
      </c>
      <c r="B2" s="378"/>
      <c r="C2" s="378"/>
      <c r="D2" s="378"/>
      <c r="E2" s="378"/>
      <c r="F2" s="378"/>
      <c r="G2" s="378"/>
      <c r="H2" s="378"/>
    </row>
    <row r="3" spans="1:11" x14ac:dyDescent="0.25">
      <c r="A3" s="19" t="s">
        <v>11</v>
      </c>
      <c r="B3" s="377"/>
      <c r="C3" s="377"/>
      <c r="D3" s="377"/>
      <c r="E3" s="377"/>
      <c r="F3" s="377"/>
      <c r="G3" s="379" t="s">
        <v>15</v>
      </c>
      <c r="H3" s="18" t="s">
        <v>16</v>
      </c>
    </row>
    <row r="4" spans="1:11" x14ac:dyDescent="0.25">
      <c r="A4" s="19" t="s">
        <v>12</v>
      </c>
      <c r="B4" s="377"/>
      <c r="C4" s="377"/>
      <c r="D4" s="377"/>
      <c r="E4" s="377"/>
      <c r="F4" s="377"/>
      <c r="G4" s="380"/>
      <c r="H4" s="8" t="s">
        <v>807</v>
      </c>
    </row>
    <row r="5" spans="1:11" x14ac:dyDescent="0.25">
      <c r="A5" s="19" t="s">
        <v>13</v>
      </c>
      <c r="B5" s="377"/>
      <c r="C5" s="377"/>
      <c r="D5" s="377"/>
      <c r="E5" s="377"/>
      <c r="F5" s="377"/>
      <c r="G5" s="381">
        <f>BDI!I4</f>
        <v>0.31126118815198645</v>
      </c>
      <c r="H5" s="18" t="s">
        <v>17</v>
      </c>
    </row>
    <row r="6" spans="1:11" x14ac:dyDescent="0.25">
      <c r="A6" s="19" t="s">
        <v>14</v>
      </c>
      <c r="B6" s="377"/>
      <c r="C6" s="377"/>
      <c r="D6" s="377"/>
      <c r="E6" s="377"/>
      <c r="F6" s="377"/>
      <c r="G6" s="381"/>
      <c r="H6" s="9" t="s">
        <v>808</v>
      </c>
    </row>
    <row r="7" spans="1:11" ht="30" x14ac:dyDescent="0.25">
      <c r="A7" s="299" t="s">
        <v>0</v>
      </c>
      <c r="B7" s="299" t="s">
        <v>1</v>
      </c>
      <c r="C7" s="299" t="s">
        <v>2</v>
      </c>
      <c r="D7" s="299" t="s">
        <v>237</v>
      </c>
      <c r="E7" s="300" t="s">
        <v>3</v>
      </c>
      <c r="F7" s="301" t="s">
        <v>238</v>
      </c>
      <c r="G7" s="301" t="s">
        <v>239</v>
      </c>
      <c r="H7" s="302" t="s">
        <v>240</v>
      </c>
      <c r="I7" s="10"/>
    </row>
    <row r="8" spans="1:11" x14ac:dyDescent="0.25">
      <c r="A8" s="303">
        <v>1</v>
      </c>
      <c r="B8" s="304"/>
      <c r="C8" s="305" t="s">
        <v>5</v>
      </c>
      <c r="D8" s="305"/>
      <c r="E8" s="306"/>
      <c r="F8" s="306" t="s">
        <v>50</v>
      </c>
      <c r="G8" s="307">
        <f>H8*(1-$G$5)</f>
        <v>0</v>
      </c>
      <c r="H8" s="307">
        <f>H9</f>
        <v>0</v>
      </c>
    </row>
    <row r="9" spans="1:11" ht="15.75" x14ac:dyDescent="0.25">
      <c r="A9" s="308" t="s">
        <v>4</v>
      </c>
      <c r="B9" s="308" t="s">
        <v>414</v>
      </c>
      <c r="C9" s="309" t="s">
        <v>57</v>
      </c>
      <c r="D9" s="310" t="s">
        <v>22</v>
      </c>
      <c r="E9" s="311">
        <v>1</v>
      </c>
      <c r="F9" s="312">
        <f>'1 - Adminitração Local'!J13</f>
        <v>0</v>
      </c>
      <c r="G9" s="313">
        <f>F9*(1+$G$5)</f>
        <v>0</v>
      </c>
      <c r="H9" s="312">
        <f>G9*E9</f>
        <v>0</v>
      </c>
    </row>
    <row r="10" spans="1:11" x14ac:dyDescent="0.25">
      <c r="A10" s="303">
        <v>2</v>
      </c>
      <c r="B10" s="304"/>
      <c r="C10" s="305" t="s">
        <v>207</v>
      </c>
      <c r="D10" s="305"/>
      <c r="E10" s="306"/>
      <c r="F10" s="306" t="s">
        <v>50</v>
      </c>
      <c r="G10" s="307">
        <f>H10*(1-$G$5)</f>
        <v>0</v>
      </c>
      <c r="H10" s="307">
        <f>H11</f>
        <v>0</v>
      </c>
    </row>
    <row r="11" spans="1:11" ht="15.75" x14ac:dyDescent="0.25">
      <c r="A11" s="308" t="s">
        <v>352</v>
      </c>
      <c r="B11" s="308" t="s">
        <v>415</v>
      </c>
      <c r="C11" s="314" t="s">
        <v>207</v>
      </c>
      <c r="D11" s="310" t="s">
        <v>22</v>
      </c>
      <c r="E11" s="311">
        <v>1</v>
      </c>
      <c r="F11" s="312">
        <f>'2 - Mobilização_Desmobilização'!K43</f>
        <v>0</v>
      </c>
      <c r="G11" s="313">
        <f>F11*(1+$G$5)</f>
        <v>0</v>
      </c>
      <c r="H11" s="312">
        <f>G11*E11</f>
        <v>0</v>
      </c>
    </row>
    <row r="12" spans="1:11" x14ac:dyDescent="0.25">
      <c r="A12" s="303">
        <v>3</v>
      </c>
      <c r="B12" s="304"/>
      <c r="C12" s="305" t="s">
        <v>6</v>
      </c>
      <c r="D12" s="305"/>
      <c r="E12" s="306"/>
      <c r="F12" s="306" t="s">
        <v>50</v>
      </c>
      <c r="G12" s="307">
        <f>H12*(1-$G$5)</f>
        <v>0</v>
      </c>
      <c r="H12" s="307">
        <f>SUM(H13:H25)</f>
        <v>0</v>
      </c>
    </row>
    <row r="13" spans="1:11" ht="23.25" customHeight="1" x14ac:dyDescent="0.25">
      <c r="A13" s="315" t="s">
        <v>9</v>
      </c>
      <c r="B13" s="316" t="s">
        <v>53</v>
      </c>
      <c r="C13" s="314" t="s">
        <v>72</v>
      </c>
      <c r="D13" s="310" t="s">
        <v>19</v>
      </c>
      <c r="E13" s="311">
        <f>'3 - Serviço Preliminar'!K8</f>
        <v>0</v>
      </c>
      <c r="F13" s="317">
        <v>308.45999999999998</v>
      </c>
      <c r="G13" s="313">
        <f>F13*(1+$G$5)</f>
        <v>404.47162609736171</v>
      </c>
      <c r="H13" s="312">
        <f>G13*E13</f>
        <v>0</v>
      </c>
    </row>
    <row r="14" spans="1:11" ht="20.25" customHeight="1" x14ac:dyDescent="0.25">
      <c r="A14" s="315" t="s">
        <v>790</v>
      </c>
      <c r="B14" s="316" t="s">
        <v>73</v>
      </c>
      <c r="C14" s="314" t="s">
        <v>74</v>
      </c>
      <c r="D14" s="310" t="s">
        <v>19</v>
      </c>
      <c r="E14" s="311">
        <f>'3 - Serviço Preliminar'!K9</f>
        <v>0</v>
      </c>
      <c r="F14" s="317">
        <v>0.88</v>
      </c>
      <c r="G14" s="313">
        <f t="shared" ref="G14:G25" si="0">F14*(1+$G$5)</f>
        <v>1.153909845573748</v>
      </c>
      <c r="H14" s="312">
        <f t="shared" ref="H14:H25" si="1">G14*E14</f>
        <v>0</v>
      </c>
    </row>
    <row r="15" spans="1:11" s="14" customFormat="1" ht="30" x14ac:dyDescent="0.25">
      <c r="A15" s="315" t="s">
        <v>464</v>
      </c>
      <c r="B15" s="318">
        <v>73672</v>
      </c>
      <c r="C15" s="21" t="s">
        <v>570</v>
      </c>
      <c r="D15" s="319" t="s">
        <v>19</v>
      </c>
      <c r="E15" s="311">
        <f>'3 - Serviço Preliminar'!K10</f>
        <v>0</v>
      </c>
      <c r="F15" s="320">
        <v>0.32</v>
      </c>
      <c r="G15" s="313">
        <f t="shared" ref="G15" si="2">F15*(1+$G$5)</f>
        <v>0.4196035802086357</v>
      </c>
      <c r="H15" s="312">
        <f t="shared" ref="H15" si="3">G15*E15</f>
        <v>0</v>
      </c>
      <c r="I15" s="12"/>
      <c r="J15" s="12"/>
      <c r="K15" s="13"/>
    </row>
    <row r="16" spans="1:11" ht="30" x14ac:dyDescent="0.25">
      <c r="A16" s="315" t="s">
        <v>10</v>
      </c>
      <c r="B16" s="316">
        <v>93207</v>
      </c>
      <c r="C16" s="314" t="s">
        <v>80</v>
      </c>
      <c r="D16" s="310" t="s">
        <v>19</v>
      </c>
      <c r="E16" s="311">
        <f>'3 - Serviço Preliminar'!K11</f>
        <v>0</v>
      </c>
      <c r="F16" s="317">
        <v>509.7</v>
      </c>
      <c r="G16" s="313">
        <f t="shared" si="0"/>
        <v>668.34982760106743</v>
      </c>
      <c r="H16" s="312">
        <f t="shared" si="1"/>
        <v>0</v>
      </c>
      <c r="I16" s="11"/>
      <c r="J16" s="11"/>
      <c r="K16" s="11"/>
    </row>
    <row r="17" spans="1:8" ht="30" x14ac:dyDescent="0.25">
      <c r="A17" s="315" t="s">
        <v>8</v>
      </c>
      <c r="B17" s="316">
        <v>93208</v>
      </c>
      <c r="C17" s="314" t="s">
        <v>75</v>
      </c>
      <c r="D17" s="310" t="s">
        <v>19</v>
      </c>
      <c r="E17" s="311">
        <f>'3 - Serviço Preliminar'!K12</f>
        <v>0</v>
      </c>
      <c r="F17" s="317">
        <v>385.6</v>
      </c>
      <c r="G17" s="313">
        <f t="shared" si="0"/>
        <v>505.62231415140599</v>
      </c>
      <c r="H17" s="312">
        <f t="shared" si="1"/>
        <v>0</v>
      </c>
    </row>
    <row r="18" spans="1:8" ht="30" x14ac:dyDescent="0.25">
      <c r="A18" s="315" t="s">
        <v>84</v>
      </c>
      <c r="B18" s="316">
        <v>93210</v>
      </c>
      <c r="C18" s="314" t="s">
        <v>76</v>
      </c>
      <c r="D18" s="310" t="s">
        <v>19</v>
      </c>
      <c r="E18" s="311">
        <f>'3 - Serviço Preliminar'!K13</f>
        <v>0</v>
      </c>
      <c r="F18" s="317">
        <v>314.47000000000003</v>
      </c>
      <c r="G18" s="313">
        <f t="shared" si="0"/>
        <v>412.35230583815519</v>
      </c>
      <c r="H18" s="312">
        <f t="shared" si="1"/>
        <v>0</v>
      </c>
    </row>
    <row r="19" spans="1:8" ht="30" x14ac:dyDescent="0.25">
      <c r="A19" s="315" t="s">
        <v>85</v>
      </c>
      <c r="B19" s="316">
        <v>93212</v>
      </c>
      <c r="C19" s="314" t="s">
        <v>77</v>
      </c>
      <c r="D19" s="310" t="s">
        <v>19</v>
      </c>
      <c r="E19" s="311">
        <f>'3 - Serviço Preliminar'!K14</f>
        <v>0</v>
      </c>
      <c r="F19" s="317">
        <v>506.6</v>
      </c>
      <c r="G19" s="313">
        <f t="shared" si="0"/>
        <v>664.28491791779641</v>
      </c>
      <c r="H19" s="312">
        <f t="shared" si="1"/>
        <v>0</v>
      </c>
    </row>
    <row r="20" spans="1:8" ht="30" x14ac:dyDescent="0.25">
      <c r="A20" s="315" t="s">
        <v>89</v>
      </c>
      <c r="B20" s="316">
        <v>41598</v>
      </c>
      <c r="C20" s="314" t="s">
        <v>454</v>
      </c>
      <c r="D20" s="310" t="s">
        <v>22</v>
      </c>
      <c r="E20" s="311">
        <f>'3 - Serviço Preliminar'!K15</f>
        <v>0</v>
      </c>
      <c r="F20" s="317">
        <v>1307.04</v>
      </c>
      <c r="G20" s="313">
        <f t="shared" si="0"/>
        <v>1713.8708233621724</v>
      </c>
      <c r="H20" s="312">
        <f t="shared" si="1"/>
        <v>0</v>
      </c>
    </row>
    <row r="21" spans="1:8" ht="25.5" customHeight="1" x14ac:dyDescent="0.25">
      <c r="A21" s="315" t="s">
        <v>90</v>
      </c>
      <c r="B21" s="316">
        <v>72897</v>
      </c>
      <c r="C21" s="314" t="s">
        <v>55</v>
      </c>
      <c r="D21" s="310" t="s">
        <v>29</v>
      </c>
      <c r="E21" s="311">
        <f>'3 - Serviço Preliminar'!K16</f>
        <v>0</v>
      </c>
      <c r="F21" s="317">
        <v>14.56</v>
      </c>
      <c r="G21" s="313">
        <f t="shared" si="0"/>
        <v>19.091962899492923</v>
      </c>
      <c r="H21" s="312">
        <f t="shared" si="1"/>
        <v>0</v>
      </c>
    </row>
    <row r="22" spans="1:8" ht="30" x14ac:dyDescent="0.25">
      <c r="A22" s="315" t="s">
        <v>97</v>
      </c>
      <c r="B22" s="316">
        <v>95290</v>
      </c>
      <c r="C22" s="314" t="s">
        <v>78</v>
      </c>
      <c r="D22" s="310" t="s">
        <v>56</v>
      </c>
      <c r="E22" s="311">
        <f>'3 - Serviço Preliminar'!K17</f>
        <v>0</v>
      </c>
      <c r="F22" s="317">
        <v>1.78</v>
      </c>
      <c r="G22" s="313">
        <f t="shared" si="0"/>
        <v>2.3340449149105358</v>
      </c>
      <c r="H22" s="312">
        <f t="shared" si="1"/>
        <v>0</v>
      </c>
    </row>
    <row r="23" spans="1:8" ht="30" x14ac:dyDescent="0.25">
      <c r="A23" s="315" t="s">
        <v>253</v>
      </c>
      <c r="B23" s="316">
        <v>95296</v>
      </c>
      <c r="C23" s="314" t="s">
        <v>79</v>
      </c>
      <c r="D23" s="310" t="s">
        <v>56</v>
      </c>
      <c r="E23" s="311">
        <f>'3 - Serviço Preliminar'!K18</f>
        <v>0</v>
      </c>
      <c r="F23" s="317">
        <v>1.59</v>
      </c>
      <c r="G23" s="313">
        <f t="shared" si="0"/>
        <v>2.0849052891616586</v>
      </c>
      <c r="H23" s="312">
        <f t="shared" si="1"/>
        <v>0</v>
      </c>
    </row>
    <row r="24" spans="1:8" ht="30" x14ac:dyDescent="0.25">
      <c r="A24" s="315" t="s">
        <v>254</v>
      </c>
      <c r="B24" s="316">
        <v>78472</v>
      </c>
      <c r="C24" s="314" t="s">
        <v>40</v>
      </c>
      <c r="D24" s="310" t="s">
        <v>19</v>
      </c>
      <c r="E24" s="311">
        <f>'3 - Serviço Preliminar'!K19</f>
        <v>0</v>
      </c>
      <c r="F24" s="317">
        <v>0.24</v>
      </c>
      <c r="G24" s="313">
        <f t="shared" si="0"/>
        <v>0.31470268515647676</v>
      </c>
      <c r="H24" s="312">
        <f t="shared" si="1"/>
        <v>0</v>
      </c>
    </row>
    <row r="25" spans="1:8" ht="45" x14ac:dyDescent="0.25">
      <c r="A25" s="315" t="s">
        <v>255</v>
      </c>
      <c r="B25" s="321" t="s">
        <v>363</v>
      </c>
      <c r="C25" s="322" t="s">
        <v>455</v>
      </c>
      <c r="D25" s="323" t="s">
        <v>364</v>
      </c>
      <c r="E25" s="311">
        <f>'3 - Serviço Preliminar'!K20</f>
        <v>0</v>
      </c>
      <c r="F25" s="317">
        <v>394.53</v>
      </c>
      <c r="G25" s="313">
        <f t="shared" si="0"/>
        <v>517.33187656160317</v>
      </c>
      <c r="H25" s="312">
        <f t="shared" si="1"/>
        <v>0</v>
      </c>
    </row>
    <row r="26" spans="1:8" x14ac:dyDescent="0.25">
      <c r="A26" s="303">
        <v>4</v>
      </c>
      <c r="B26" s="324"/>
      <c r="C26" s="305" t="s">
        <v>7</v>
      </c>
      <c r="D26" s="305"/>
      <c r="E26" s="306"/>
      <c r="F26" s="306" t="s">
        <v>50</v>
      </c>
      <c r="G26" s="307" t="e">
        <f>H26*(1-$G$5)</f>
        <v>#DIV/0!</v>
      </c>
      <c r="H26" s="307" t="e">
        <f>SUM(H27:H35)</f>
        <v>#DIV/0!</v>
      </c>
    </row>
    <row r="27" spans="1:8" ht="30" x14ac:dyDescent="0.25">
      <c r="A27" s="315" t="s">
        <v>23</v>
      </c>
      <c r="B27" s="325" t="s">
        <v>87</v>
      </c>
      <c r="C27" s="326" t="s">
        <v>86</v>
      </c>
      <c r="D27" s="310" t="s">
        <v>19</v>
      </c>
      <c r="E27" s="311">
        <f>'4 - Terraplenagem'!O8</f>
        <v>0</v>
      </c>
      <c r="F27" s="313">
        <v>0.53</v>
      </c>
      <c r="G27" s="313">
        <f t="shared" ref="G27" si="4">F27*(1+$G$5)</f>
        <v>0.69496842972055284</v>
      </c>
      <c r="H27" s="312">
        <f>G27*E27</f>
        <v>0</v>
      </c>
    </row>
    <row r="28" spans="1:8" ht="15.75" x14ac:dyDescent="0.25">
      <c r="A28" s="315" t="s">
        <v>24</v>
      </c>
      <c r="B28" s="325" t="s">
        <v>210</v>
      </c>
      <c r="C28" s="326" t="s">
        <v>209</v>
      </c>
      <c r="D28" s="310" t="s">
        <v>19</v>
      </c>
      <c r="E28" s="311" t="e">
        <f>'4 - Terraplenagem'!O9</f>
        <v>#DIV/0!</v>
      </c>
      <c r="F28" s="313">
        <v>0.31</v>
      </c>
      <c r="G28" s="313">
        <f t="shared" ref="G28:G35" si="5">F28*(1+$G$5)</f>
        <v>0.40649096832711579</v>
      </c>
      <c r="H28" s="312" t="e">
        <f t="shared" ref="H28:H35" si="6">G28*E28</f>
        <v>#DIV/0!</v>
      </c>
    </row>
    <row r="29" spans="1:8" ht="15.75" x14ac:dyDescent="0.25">
      <c r="A29" s="315" t="s">
        <v>25</v>
      </c>
      <c r="B29" s="325" t="s">
        <v>212</v>
      </c>
      <c r="C29" s="326" t="s">
        <v>211</v>
      </c>
      <c r="D29" s="310" t="s">
        <v>29</v>
      </c>
      <c r="E29" s="311" t="e">
        <f>'4 - Terraplenagem'!O10</f>
        <v>#DIV/0!</v>
      </c>
      <c r="F29" s="313">
        <v>1.69</v>
      </c>
      <c r="G29" s="313">
        <f t="shared" si="5"/>
        <v>2.2160314079768568</v>
      </c>
      <c r="H29" s="312" t="e">
        <f t="shared" si="6"/>
        <v>#DIV/0!</v>
      </c>
    </row>
    <row r="30" spans="1:8" ht="30" x14ac:dyDescent="0.25">
      <c r="A30" s="315" t="s">
        <v>26</v>
      </c>
      <c r="B30" s="316">
        <v>95290</v>
      </c>
      <c r="C30" s="326" t="s">
        <v>78</v>
      </c>
      <c r="D30" s="310" t="s">
        <v>56</v>
      </c>
      <c r="E30" s="311">
        <f>'4 - Terraplenagem'!O11</f>
        <v>0</v>
      </c>
      <c r="F30" s="313">
        <v>1.78</v>
      </c>
      <c r="G30" s="313">
        <f t="shared" si="5"/>
        <v>2.3340449149105358</v>
      </c>
      <c r="H30" s="312">
        <f t="shared" si="6"/>
        <v>0</v>
      </c>
    </row>
    <row r="31" spans="1:8" ht="45" x14ac:dyDescent="0.25">
      <c r="A31" s="315" t="s">
        <v>27</v>
      </c>
      <c r="B31" s="325" t="s">
        <v>88</v>
      </c>
      <c r="C31" s="326" t="s">
        <v>589</v>
      </c>
      <c r="D31" s="310" t="s">
        <v>29</v>
      </c>
      <c r="E31" s="311">
        <f>'4 - Terraplenagem'!O12</f>
        <v>0</v>
      </c>
      <c r="F31" s="313">
        <v>2.83</v>
      </c>
      <c r="G31" s="313">
        <f t="shared" si="5"/>
        <v>3.7108691624701216</v>
      </c>
      <c r="H31" s="312">
        <f t="shared" si="6"/>
        <v>0</v>
      </c>
    </row>
    <row r="32" spans="1:8" ht="45" x14ac:dyDescent="0.25">
      <c r="A32" s="315" t="s">
        <v>28</v>
      </c>
      <c r="B32" s="325" t="s">
        <v>88</v>
      </c>
      <c r="C32" s="326" t="s">
        <v>588</v>
      </c>
      <c r="D32" s="310" t="s">
        <v>29</v>
      </c>
      <c r="E32" s="311">
        <f>'4 - Terraplenagem'!O13</f>
        <v>0</v>
      </c>
      <c r="F32" s="313">
        <v>2.83</v>
      </c>
      <c r="G32" s="313">
        <f t="shared" si="5"/>
        <v>3.7108691624701216</v>
      </c>
      <c r="H32" s="312">
        <f t="shared" si="6"/>
        <v>0</v>
      </c>
    </row>
    <row r="33" spans="1:11" s="3" customFormat="1" ht="30" x14ac:dyDescent="0.25">
      <c r="A33" s="315" t="s">
        <v>52</v>
      </c>
      <c r="B33" s="316" t="s">
        <v>82</v>
      </c>
      <c r="C33" s="327" t="s">
        <v>81</v>
      </c>
      <c r="D33" s="310" t="s">
        <v>29</v>
      </c>
      <c r="E33" s="311">
        <f>'4 - Terraplenagem'!O14</f>
        <v>0</v>
      </c>
      <c r="F33" s="313">
        <v>1.4</v>
      </c>
      <c r="G33" s="313">
        <f t="shared" si="5"/>
        <v>1.8357656634127808</v>
      </c>
      <c r="H33" s="312">
        <f t="shared" si="6"/>
        <v>0</v>
      </c>
      <c r="I33" s="2"/>
      <c r="J33" s="2" t="s">
        <v>356</v>
      </c>
      <c r="K33" s="2"/>
    </row>
    <row r="34" spans="1:11" s="3" customFormat="1" ht="30" x14ac:dyDescent="0.25">
      <c r="A34" s="315" t="s">
        <v>91</v>
      </c>
      <c r="B34" s="316" t="s">
        <v>54</v>
      </c>
      <c r="C34" s="327" t="s">
        <v>18</v>
      </c>
      <c r="D34" s="310" t="s">
        <v>19</v>
      </c>
      <c r="E34" s="311">
        <f>'4 - Terraplenagem'!O15</f>
        <v>0</v>
      </c>
      <c r="F34" s="313">
        <v>0.21</v>
      </c>
      <c r="G34" s="313">
        <f t="shared" si="5"/>
        <v>0.27536484951191714</v>
      </c>
      <c r="H34" s="312">
        <f t="shared" si="6"/>
        <v>0</v>
      </c>
    </row>
    <row r="35" spans="1:11" ht="15.75" x14ac:dyDescent="0.25">
      <c r="A35" s="315" t="s">
        <v>242</v>
      </c>
      <c r="B35" s="316">
        <v>79472</v>
      </c>
      <c r="C35" s="314" t="s">
        <v>83</v>
      </c>
      <c r="D35" s="310" t="s">
        <v>19</v>
      </c>
      <c r="E35" s="311">
        <f>'4 - Terraplenagem'!O16</f>
        <v>0</v>
      </c>
      <c r="F35" s="313">
        <v>0.5</v>
      </c>
      <c r="G35" s="313">
        <f t="shared" si="5"/>
        <v>0.65563059407599322</v>
      </c>
      <c r="H35" s="312">
        <f t="shared" si="6"/>
        <v>0</v>
      </c>
      <c r="I35" s="3"/>
      <c r="J35" s="3"/>
      <c r="K35" s="3"/>
    </row>
    <row r="36" spans="1:11" x14ac:dyDescent="0.25">
      <c r="A36" s="303">
        <v>5</v>
      </c>
      <c r="B36" s="328"/>
      <c r="C36" s="305" t="s">
        <v>20</v>
      </c>
      <c r="D36" s="305"/>
      <c r="E36" s="306"/>
      <c r="F36" s="306" t="s">
        <v>50</v>
      </c>
      <c r="G36" s="307">
        <f>H36*(1-$G$5)</f>
        <v>0</v>
      </c>
      <c r="H36" s="307">
        <f>SUM(H37:H46)</f>
        <v>0</v>
      </c>
    </row>
    <row r="37" spans="1:11" ht="15.75" x14ac:dyDescent="0.25">
      <c r="A37" s="329" t="s">
        <v>31</v>
      </c>
      <c r="B37" s="329">
        <v>72961</v>
      </c>
      <c r="C37" s="330" t="s">
        <v>93</v>
      </c>
      <c r="D37" s="323" t="s">
        <v>19</v>
      </c>
      <c r="E37" s="331">
        <f>'5 - Pavimentação'!J8</f>
        <v>0</v>
      </c>
      <c r="F37" s="332">
        <v>1.18</v>
      </c>
      <c r="G37" s="313">
        <f t="shared" ref="G37:G38" si="7">F37*(1+$G$5)</f>
        <v>1.5472882020193439</v>
      </c>
      <c r="H37" s="312">
        <f>G37*E37</f>
        <v>0</v>
      </c>
    </row>
    <row r="38" spans="1:11" ht="45" x14ac:dyDescent="0.25">
      <c r="A38" s="329" t="s">
        <v>32</v>
      </c>
      <c r="B38" s="333" t="s">
        <v>88</v>
      </c>
      <c r="C38" s="326" t="s">
        <v>803</v>
      </c>
      <c r="D38" s="310" t="s">
        <v>29</v>
      </c>
      <c r="E38" s="331">
        <f>'5 - Pavimentação'!J9</f>
        <v>0</v>
      </c>
      <c r="F38" s="313">
        <v>2.83</v>
      </c>
      <c r="G38" s="313">
        <f t="shared" si="7"/>
        <v>3.7108691624701216</v>
      </c>
      <c r="H38" s="312">
        <f>G38*E38</f>
        <v>0</v>
      </c>
    </row>
    <row r="39" spans="1:11" ht="43.5" customHeight="1" x14ac:dyDescent="0.25">
      <c r="A39" s="329" t="s">
        <v>33</v>
      </c>
      <c r="B39" s="308">
        <v>96387</v>
      </c>
      <c r="C39" s="314" t="s">
        <v>92</v>
      </c>
      <c r="D39" s="310" t="s">
        <v>29</v>
      </c>
      <c r="E39" s="331">
        <f>'5 - Pavimentação'!J10+'5 - Pavimentação'!J11</f>
        <v>0</v>
      </c>
      <c r="F39" s="334">
        <v>5.98</v>
      </c>
      <c r="G39" s="313">
        <f t="shared" ref="G39:G46" si="8">F39*(1+$G$5)</f>
        <v>7.8413419051488793</v>
      </c>
      <c r="H39" s="312">
        <f t="shared" ref="H39:H46" si="9">G39*E39</f>
        <v>0</v>
      </c>
    </row>
    <row r="40" spans="1:11" ht="36.75" customHeight="1" x14ac:dyDescent="0.25">
      <c r="A40" s="329" t="s">
        <v>34</v>
      </c>
      <c r="B40" s="308">
        <v>96401</v>
      </c>
      <c r="C40" s="335" t="s">
        <v>94</v>
      </c>
      <c r="D40" s="310" t="s">
        <v>19</v>
      </c>
      <c r="E40" s="331">
        <f>'5 - Pavimentação'!J12</f>
        <v>0</v>
      </c>
      <c r="F40" s="336">
        <v>4.0999999999999996</v>
      </c>
      <c r="G40" s="313">
        <f t="shared" si="8"/>
        <v>5.3761708714231435</v>
      </c>
      <c r="H40" s="312">
        <f t="shared" si="9"/>
        <v>0</v>
      </c>
    </row>
    <row r="41" spans="1:11" ht="30" x14ac:dyDescent="0.25">
      <c r="A41" s="329" t="s">
        <v>35</v>
      </c>
      <c r="B41" s="329">
        <v>97807</v>
      </c>
      <c r="C41" s="335" t="s">
        <v>453</v>
      </c>
      <c r="D41" s="310" t="s">
        <v>19</v>
      </c>
      <c r="E41" s="331">
        <f>'5 - Pavimentação'!J13</f>
        <v>0</v>
      </c>
      <c r="F41" s="336">
        <v>7.83</v>
      </c>
      <c r="G41" s="313">
        <f t="shared" si="8"/>
        <v>10.267175103230054</v>
      </c>
      <c r="H41" s="312">
        <f t="shared" si="9"/>
        <v>0</v>
      </c>
    </row>
    <row r="42" spans="1:11" ht="15.75" x14ac:dyDescent="0.25">
      <c r="A42" s="329" t="s">
        <v>36</v>
      </c>
      <c r="B42" s="337" t="s">
        <v>362</v>
      </c>
      <c r="C42" s="322" t="s">
        <v>208</v>
      </c>
      <c r="D42" s="323" t="s">
        <v>29</v>
      </c>
      <c r="E42" s="331">
        <f>'5 - Pavimentação'!J14</f>
        <v>0</v>
      </c>
      <c r="F42" s="336">
        <v>1.02</v>
      </c>
      <c r="G42" s="313">
        <f t="shared" si="8"/>
        <v>1.3374864119150263</v>
      </c>
      <c r="H42" s="312">
        <f t="shared" si="9"/>
        <v>0</v>
      </c>
    </row>
    <row r="43" spans="1:11" ht="15.75" x14ac:dyDescent="0.25">
      <c r="A43" s="329" t="s">
        <v>37</v>
      </c>
      <c r="B43" s="338" t="s">
        <v>360</v>
      </c>
      <c r="C43" s="339" t="s">
        <v>361</v>
      </c>
      <c r="D43" s="323" t="s">
        <v>19</v>
      </c>
      <c r="E43" s="331">
        <f>'5 - Pavimentação'!J15</f>
        <v>0</v>
      </c>
      <c r="F43" s="336">
        <v>0.52</v>
      </c>
      <c r="G43" s="313">
        <f t="shared" si="8"/>
        <v>0.68185581783903293</v>
      </c>
      <c r="H43" s="312">
        <f t="shared" si="9"/>
        <v>0</v>
      </c>
    </row>
    <row r="44" spans="1:11" ht="15.75" x14ac:dyDescent="0.25">
      <c r="A44" s="329" t="s">
        <v>256</v>
      </c>
      <c r="B44" s="20" t="s">
        <v>58</v>
      </c>
      <c r="C44" s="340" t="s">
        <v>21</v>
      </c>
      <c r="D44" s="310" t="s">
        <v>22</v>
      </c>
      <c r="E44" s="331">
        <f>'5 - Pavimentação'!J16</f>
        <v>0</v>
      </c>
      <c r="F44" s="336">
        <v>108.84</v>
      </c>
      <c r="G44" s="313">
        <f t="shared" si="8"/>
        <v>142.7176677184622</v>
      </c>
      <c r="H44" s="312">
        <f t="shared" si="9"/>
        <v>0</v>
      </c>
    </row>
    <row r="45" spans="1:11" ht="15.75" x14ac:dyDescent="0.25">
      <c r="A45" s="329" t="s">
        <v>257</v>
      </c>
      <c r="B45" s="20" t="s">
        <v>59</v>
      </c>
      <c r="C45" s="340" t="s">
        <v>95</v>
      </c>
      <c r="D45" s="310" t="s">
        <v>22</v>
      </c>
      <c r="E45" s="331">
        <f>'5 - Pavimentação'!J17</f>
        <v>0</v>
      </c>
      <c r="F45" s="336">
        <v>98.96</v>
      </c>
      <c r="G45" s="313">
        <f t="shared" si="8"/>
        <v>129.76240717952058</v>
      </c>
      <c r="H45" s="312">
        <f t="shared" si="9"/>
        <v>0</v>
      </c>
    </row>
    <row r="46" spans="1:11" ht="15.75" x14ac:dyDescent="0.25">
      <c r="A46" s="329" t="s">
        <v>801</v>
      </c>
      <c r="B46" s="20" t="s">
        <v>60</v>
      </c>
      <c r="C46" s="340" t="s">
        <v>96</v>
      </c>
      <c r="D46" s="310" t="s">
        <v>22</v>
      </c>
      <c r="E46" s="331">
        <f>'5 - Pavimentação'!J18</f>
        <v>0</v>
      </c>
      <c r="F46" s="336">
        <v>108.84</v>
      </c>
      <c r="G46" s="313">
        <f t="shared" si="8"/>
        <v>142.7176677184622</v>
      </c>
      <c r="H46" s="312">
        <f t="shared" si="9"/>
        <v>0</v>
      </c>
    </row>
    <row r="47" spans="1:11" x14ac:dyDescent="0.25">
      <c r="A47" s="303">
        <v>6</v>
      </c>
      <c r="B47" s="328"/>
      <c r="C47" s="305" t="s">
        <v>30</v>
      </c>
      <c r="D47" s="305"/>
      <c r="E47" s="306"/>
      <c r="F47" s="306" t="s">
        <v>50</v>
      </c>
      <c r="G47" s="307">
        <f>H47*(1-$G$5)</f>
        <v>0</v>
      </c>
      <c r="H47" s="307">
        <f>SUM(H48:H61)</f>
        <v>0</v>
      </c>
    </row>
    <row r="48" spans="1:11" ht="30" x14ac:dyDescent="0.25">
      <c r="A48" s="315" t="s">
        <v>48</v>
      </c>
      <c r="B48" s="308">
        <v>95302</v>
      </c>
      <c r="C48" s="341" t="s">
        <v>98</v>
      </c>
      <c r="D48" s="308" t="s">
        <v>38</v>
      </c>
      <c r="E48" s="331">
        <f>'6 - Transporte'!E8</f>
        <v>0</v>
      </c>
      <c r="F48" s="331">
        <v>1.43</v>
      </c>
      <c r="G48" s="313">
        <f>F48*(1+$G$5)</f>
        <v>1.8751034990573405</v>
      </c>
      <c r="H48" s="312">
        <f>G48*E48</f>
        <v>0</v>
      </c>
    </row>
    <row r="49" spans="1:8" ht="30" x14ac:dyDescent="0.25">
      <c r="A49" s="315" t="s">
        <v>61</v>
      </c>
      <c r="B49" s="316">
        <v>95290</v>
      </c>
      <c r="C49" s="326" t="s">
        <v>78</v>
      </c>
      <c r="D49" s="310" t="s">
        <v>56</v>
      </c>
      <c r="E49" s="331">
        <f>'6 - Transporte'!E9</f>
        <v>0</v>
      </c>
      <c r="F49" s="331">
        <v>1.78</v>
      </c>
      <c r="G49" s="313">
        <f>F49*(1+$G$5)</f>
        <v>2.3340449149105358</v>
      </c>
      <c r="H49" s="312">
        <f>G49*E49</f>
        <v>0</v>
      </c>
    </row>
    <row r="50" spans="1:8" ht="30" x14ac:dyDescent="0.25">
      <c r="A50" s="315" t="s">
        <v>62</v>
      </c>
      <c r="B50" s="337">
        <v>95875</v>
      </c>
      <c r="C50" s="322" t="s">
        <v>456</v>
      </c>
      <c r="D50" s="337" t="s">
        <v>38</v>
      </c>
      <c r="E50" s="331">
        <f>'6 - Transporte'!E10</f>
        <v>0</v>
      </c>
      <c r="F50" s="342">
        <v>1.07</v>
      </c>
      <c r="G50" s="313">
        <f t="shared" ref="G50:G61" si="10">F50*(1+$G$5)</f>
        <v>1.4030494713226256</v>
      </c>
      <c r="H50" s="312">
        <f t="shared" ref="H50:H61" si="11">G50*E50</f>
        <v>0</v>
      </c>
    </row>
    <row r="51" spans="1:8" ht="30" x14ac:dyDescent="0.25">
      <c r="A51" s="315" t="s">
        <v>99</v>
      </c>
      <c r="B51" s="337">
        <v>93590</v>
      </c>
      <c r="C51" s="339" t="s">
        <v>357</v>
      </c>
      <c r="D51" s="337" t="s">
        <v>38</v>
      </c>
      <c r="E51" s="331">
        <f>'6 - Transporte'!E11</f>
        <v>0</v>
      </c>
      <c r="F51" s="342">
        <v>0.76</v>
      </c>
      <c r="G51" s="313">
        <f t="shared" si="10"/>
        <v>0.99655850299550974</v>
      </c>
      <c r="H51" s="312">
        <f t="shared" si="11"/>
        <v>0</v>
      </c>
    </row>
    <row r="52" spans="1:8" ht="30" x14ac:dyDescent="0.25">
      <c r="A52" s="315" t="s">
        <v>100</v>
      </c>
      <c r="B52" s="337">
        <v>93591</v>
      </c>
      <c r="C52" s="339" t="s">
        <v>573</v>
      </c>
      <c r="D52" s="337" t="s">
        <v>38</v>
      </c>
      <c r="E52" s="331">
        <f>'6 - Transporte'!E12</f>
        <v>0</v>
      </c>
      <c r="F52" s="342">
        <v>1.32</v>
      </c>
      <c r="G52" s="313">
        <f t="shared" ref="G52:G53" si="12">F52*(1+$G$5)</f>
        <v>1.7308647683606222</v>
      </c>
      <c r="H52" s="312">
        <f t="shared" ref="H52:H53" si="13">G52*E52</f>
        <v>0</v>
      </c>
    </row>
    <row r="53" spans="1:8" ht="30" x14ac:dyDescent="0.25">
      <c r="A53" s="315" t="s">
        <v>358</v>
      </c>
      <c r="B53" s="337">
        <v>93593</v>
      </c>
      <c r="C53" s="339" t="s">
        <v>574</v>
      </c>
      <c r="D53" s="337" t="s">
        <v>38</v>
      </c>
      <c r="E53" s="331">
        <f>'6 - Transporte'!E13</f>
        <v>0</v>
      </c>
      <c r="F53" s="342">
        <v>0.67</v>
      </c>
      <c r="G53" s="313">
        <f t="shared" si="12"/>
        <v>0.87854499606183101</v>
      </c>
      <c r="H53" s="312">
        <f t="shared" si="13"/>
        <v>0</v>
      </c>
    </row>
    <row r="54" spans="1:8" ht="45" x14ac:dyDescent="0.25">
      <c r="A54" s="315" t="s">
        <v>359</v>
      </c>
      <c r="B54" s="308">
        <v>93176</v>
      </c>
      <c r="C54" s="341" t="s">
        <v>575</v>
      </c>
      <c r="D54" s="308" t="s">
        <v>39</v>
      </c>
      <c r="E54" s="343">
        <f>'6 - Transporte'!L14</f>
        <v>0</v>
      </c>
      <c r="F54" s="342">
        <v>0.43</v>
      </c>
      <c r="G54" s="313">
        <f t="shared" si="10"/>
        <v>0.56384231090535419</v>
      </c>
      <c r="H54" s="312">
        <f t="shared" si="11"/>
        <v>0</v>
      </c>
    </row>
    <row r="55" spans="1:8" ht="45" x14ac:dyDescent="0.25">
      <c r="A55" s="315" t="s">
        <v>473</v>
      </c>
      <c r="B55" s="308">
        <v>93176</v>
      </c>
      <c r="C55" s="341" t="s">
        <v>576</v>
      </c>
      <c r="D55" s="308" t="s">
        <v>39</v>
      </c>
      <c r="E55" s="343">
        <f>'6 - Transporte'!L15</f>
        <v>0</v>
      </c>
      <c r="F55" s="342">
        <v>0.43</v>
      </c>
      <c r="G55" s="313">
        <f t="shared" si="10"/>
        <v>0.56384231090535419</v>
      </c>
      <c r="H55" s="312">
        <f t="shared" si="11"/>
        <v>0</v>
      </c>
    </row>
    <row r="56" spans="1:8" ht="45" x14ac:dyDescent="0.25">
      <c r="A56" s="315" t="s">
        <v>474</v>
      </c>
      <c r="B56" s="308">
        <v>93177</v>
      </c>
      <c r="C56" s="341" t="s">
        <v>578</v>
      </c>
      <c r="D56" s="308" t="s">
        <v>39</v>
      </c>
      <c r="E56" s="343">
        <f>'6 - Transporte'!L16</f>
        <v>0</v>
      </c>
      <c r="F56" s="342">
        <v>1.53</v>
      </c>
      <c r="G56" s="313">
        <f t="shared" si="10"/>
        <v>2.0062296178725392</v>
      </c>
      <c r="H56" s="312">
        <f t="shared" si="11"/>
        <v>0</v>
      </c>
    </row>
    <row r="57" spans="1:8" ht="45" x14ac:dyDescent="0.25">
      <c r="A57" s="315" t="s">
        <v>475</v>
      </c>
      <c r="B57" s="308">
        <v>93177</v>
      </c>
      <c r="C57" s="341" t="s">
        <v>579</v>
      </c>
      <c r="D57" s="308" t="s">
        <v>39</v>
      </c>
      <c r="E57" s="343">
        <f>'6 - Transporte'!L17</f>
        <v>0</v>
      </c>
      <c r="F57" s="342">
        <v>1.53</v>
      </c>
      <c r="G57" s="313">
        <f t="shared" si="10"/>
        <v>2.0062296178725392</v>
      </c>
      <c r="H57" s="312">
        <f t="shared" si="11"/>
        <v>0</v>
      </c>
    </row>
    <row r="58" spans="1:8" ht="45" x14ac:dyDescent="0.25">
      <c r="A58" s="315" t="s">
        <v>476</v>
      </c>
      <c r="B58" s="308">
        <v>93178</v>
      </c>
      <c r="C58" s="341" t="s">
        <v>580</v>
      </c>
      <c r="D58" s="308" t="s">
        <v>39</v>
      </c>
      <c r="E58" s="343">
        <f>'6 - Transporte'!L18</f>
        <v>0</v>
      </c>
      <c r="F58" s="342">
        <v>0.49</v>
      </c>
      <c r="G58" s="313">
        <f t="shared" si="10"/>
        <v>0.64251798219447331</v>
      </c>
      <c r="H58" s="312">
        <f t="shared" si="11"/>
        <v>0</v>
      </c>
    </row>
    <row r="59" spans="1:8" ht="45" x14ac:dyDescent="0.25">
      <c r="A59" s="315" t="s">
        <v>477</v>
      </c>
      <c r="B59" s="308">
        <v>93178</v>
      </c>
      <c r="C59" s="341" t="s">
        <v>581</v>
      </c>
      <c r="D59" s="308" t="s">
        <v>39</v>
      </c>
      <c r="E59" s="343">
        <f>'6 - Transporte'!L19</f>
        <v>0</v>
      </c>
      <c r="F59" s="342">
        <v>0.49</v>
      </c>
      <c r="G59" s="313">
        <f t="shared" si="10"/>
        <v>0.64251798219447331</v>
      </c>
      <c r="H59" s="312">
        <f t="shared" si="11"/>
        <v>0</v>
      </c>
    </row>
    <row r="60" spans="1:8" ht="45" x14ac:dyDescent="0.25">
      <c r="A60" s="315" t="s">
        <v>478</v>
      </c>
      <c r="B60" s="308">
        <v>93179</v>
      </c>
      <c r="C60" s="341" t="s">
        <v>582</v>
      </c>
      <c r="D60" s="308" t="s">
        <v>39</v>
      </c>
      <c r="E60" s="343">
        <f>'6 - Transporte'!L20</f>
        <v>0</v>
      </c>
      <c r="F60" s="342">
        <v>1.69</v>
      </c>
      <c r="G60" s="313">
        <f t="shared" si="10"/>
        <v>2.2160314079768568</v>
      </c>
      <c r="H60" s="312">
        <f t="shared" si="11"/>
        <v>0</v>
      </c>
    </row>
    <row r="61" spans="1:8" ht="45" x14ac:dyDescent="0.25">
      <c r="A61" s="315" t="s">
        <v>577</v>
      </c>
      <c r="B61" s="329">
        <v>93179</v>
      </c>
      <c r="C61" s="341" t="s">
        <v>583</v>
      </c>
      <c r="D61" s="308" t="s">
        <v>39</v>
      </c>
      <c r="E61" s="343">
        <f>'6 - Transporte'!L21</f>
        <v>0</v>
      </c>
      <c r="F61" s="342">
        <v>1.69</v>
      </c>
      <c r="G61" s="313">
        <f t="shared" si="10"/>
        <v>2.2160314079768568</v>
      </c>
      <c r="H61" s="312">
        <f t="shared" si="11"/>
        <v>0</v>
      </c>
    </row>
    <row r="62" spans="1:8" x14ac:dyDescent="0.25">
      <c r="A62" s="303">
        <v>7</v>
      </c>
      <c r="B62" s="328"/>
      <c r="C62" s="305" t="s">
        <v>355</v>
      </c>
      <c r="D62" s="305"/>
      <c r="E62" s="306"/>
      <c r="F62" s="306" t="s">
        <v>50</v>
      </c>
      <c r="G62" s="307">
        <f>H62*(1-$G$5)</f>
        <v>0</v>
      </c>
      <c r="H62" s="307">
        <f>SUM(H63:H79)</f>
        <v>0</v>
      </c>
    </row>
    <row r="63" spans="1:8" ht="15.75" x14ac:dyDescent="0.25">
      <c r="A63" s="315" t="s">
        <v>46</v>
      </c>
      <c r="B63" s="308">
        <v>93358</v>
      </c>
      <c r="C63" s="335" t="s">
        <v>116</v>
      </c>
      <c r="D63" s="310" t="s">
        <v>29</v>
      </c>
      <c r="E63" s="331">
        <f>'7 - Dren. Sup.- Guias e Sarjeta'!H8</f>
        <v>0</v>
      </c>
      <c r="F63" s="344">
        <v>43.67</v>
      </c>
      <c r="G63" s="313">
        <f>F63*(1+$G$5)</f>
        <v>57.262776086597249</v>
      </c>
      <c r="H63" s="312">
        <f>G63*E63</f>
        <v>0</v>
      </c>
    </row>
    <row r="64" spans="1:8" ht="45" x14ac:dyDescent="0.25">
      <c r="A64" s="315" t="s">
        <v>47</v>
      </c>
      <c r="B64" s="308">
        <v>94267</v>
      </c>
      <c r="C64" s="345" t="s">
        <v>101</v>
      </c>
      <c r="D64" s="310" t="s">
        <v>41</v>
      </c>
      <c r="E64" s="331">
        <f>'7 - Dren. Sup.- Guias e Sarjeta'!H9</f>
        <v>0</v>
      </c>
      <c r="F64" s="336">
        <v>26.44</v>
      </c>
      <c r="G64" s="313">
        <f t="shared" ref="G64:G79" si="14">F64*(1+$G$5)</f>
        <v>34.669745814738526</v>
      </c>
      <c r="H64" s="312">
        <f t="shared" ref="H64:H79" si="15">G64*E64</f>
        <v>0</v>
      </c>
    </row>
    <row r="65" spans="1:8" ht="45" x14ac:dyDescent="0.25">
      <c r="A65" s="315" t="s">
        <v>65</v>
      </c>
      <c r="B65" s="308">
        <v>94268</v>
      </c>
      <c r="C65" s="345" t="s">
        <v>102</v>
      </c>
      <c r="D65" s="310" t="s">
        <v>41</v>
      </c>
      <c r="E65" s="331">
        <f>'7 - Dren. Sup.- Guias e Sarjeta'!H10</f>
        <v>0</v>
      </c>
      <c r="F65" s="336">
        <v>29.02</v>
      </c>
      <c r="G65" s="313">
        <f t="shared" si="14"/>
        <v>38.052799680170644</v>
      </c>
      <c r="H65" s="312">
        <f t="shared" si="15"/>
        <v>0</v>
      </c>
    </row>
    <row r="66" spans="1:8" ht="45" x14ac:dyDescent="0.25">
      <c r="A66" s="315" t="s">
        <v>120</v>
      </c>
      <c r="B66" s="308">
        <v>94269</v>
      </c>
      <c r="C66" s="345" t="s">
        <v>689</v>
      </c>
      <c r="D66" s="310" t="s">
        <v>41</v>
      </c>
      <c r="E66" s="331">
        <f>'7 - Dren. Sup.- Guias e Sarjeta'!H11</f>
        <v>0</v>
      </c>
      <c r="F66" s="336">
        <v>37.44</v>
      </c>
      <c r="G66" s="313">
        <f t="shared" si="14"/>
        <v>49.093618884410368</v>
      </c>
      <c r="H66" s="312">
        <f t="shared" si="15"/>
        <v>0</v>
      </c>
    </row>
    <row r="67" spans="1:8" ht="45" x14ac:dyDescent="0.25">
      <c r="A67" s="315" t="s">
        <v>121</v>
      </c>
      <c r="B67" s="308">
        <v>94270</v>
      </c>
      <c r="C67" s="345" t="s">
        <v>103</v>
      </c>
      <c r="D67" s="310" t="s">
        <v>41</v>
      </c>
      <c r="E67" s="331">
        <f>'7 - Dren. Sup.- Guias e Sarjeta'!H12</f>
        <v>0</v>
      </c>
      <c r="F67" s="336">
        <v>41.04</v>
      </c>
      <c r="G67" s="313">
        <f t="shared" si="14"/>
        <v>53.814159161757523</v>
      </c>
      <c r="H67" s="312">
        <f t="shared" si="15"/>
        <v>0</v>
      </c>
    </row>
    <row r="68" spans="1:8" ht="45" x14ac:dyDescent="0.25">
      <c r="A68" s="315" t="s">
        <v>122</v>
      </c>
      <c r="B68" s="308">
        <v>94271</v>
      </c>
      <c r="C68" s="345" t="s">
        <v>104</v>
      </c>
      <c r="D68" s="310" t="s">
        <v>41</v>
      </c>
      <c r="E68" s="331">
        <f>'7 - Dren. Sup.- Guias e Sarjeta'!H13</f>
        <v>0</v>
      </c>
      <c r="F68" s="336">
        <v>45.63</v>
      </c>
      <c r="G68" s="313">
        <f t="shared" si="14"/>
        <v>59.832848015375141</v>
      </c>
      <c r="H68" s="312">
        <f t="shared" si="15"/>
        <v>0</v>
      </c>
    </row>
    <row r="69" spans="1:8" ht="45" x14ac:dyDescent="0.25">
      <c r="A69" s="315" t="s">
        <v>123</v>
      </c>
      <c r="B69" s="308">
        <v>94272</v>
      </c>
      <c r="C69" s="345" t="s">
        <v>105</v>
      </c>
      <c r="D69" s="310" t="s">
        <v>41</v>
      </c>
      <c r="E69" s="331">
        <f>'7 - Dren. Sup.- Guias e Sarjeta'!H14</f>
        <v>0</v>
      </c>
      <c r="F69" s="336">
        <v>50.42</v>
      </c>
      <c r="G69" s="313">
        <f t="shared" si="14"/>
        <v>66.113789106623159</v>
      </c>
      <c r="H69" s="312">
        <f t="shared" si="15"/>
        <v>0</v>
      </c>
    </row>
    <row r="70" spans="1:8" ht="60" x14ac:dyDescent="0.25">
      <c r="A70" s="315" t="s">
        <v>124</v>
      </c>
      <c r="B70" s="308">
        <v>94273</v>
      </c>
      <c r="C70" s="345" t="s">
        <v>106</v>
      </c>
      <c r="D70" s="310" t="s">
        <v>41</v>
      </c>
      <c r="E70" s="331">
        <f>'7 - Dren. Sup.- Guias e Sarjeta'!H15</f>
        <v>0</v>
      </c>
      <c r="F70" s="336">
        <v>31.94</v>
      </c>
      <c r="G70" s="313">
        <f t="shared" si="14"/>
        <v>41.881682349574447</v>
      </c>
      <c r="H70" s="312">
        <f t="shared" si="15"/>
        <v>0</v>
      </c>
    </row>
    <row r="71" spans="1:8" ht="60" x14ac:dyDescent="0.25">
      <c r="A71" s="315" t="s">
        <v>258</v>
      </c>
      <c r="B71" s="308">
        <v>94274</v>
      </c>
      <c r="C71" s="345" t="s">
        <v>107</v>
      </c>
      <c r="D71" s="310" t="s">
        <v>41</v>
      </c>
      <c r="E71" s="331">
        <f>'7 - Dren. Sup.- Guias e Sarjeta'!H16</f>
        <v>0</v>
      </c>
      <c r="F71" s="336">
        <v>34.24</v>
      </c>
      <c r="G71" s="313">
        <f t="shared" si="14"/>
        <v>44.897583082324019</v>
      </c>
      <c r="H71" s="312">
        <f t="shared" si="15"/>
        <v>0</v>
      </c>
    </row>
    <row r="72" spans="1:8" ht="30" x14ac:dyDescent="0.25">
      <c r="A72" s="315" t="s">
        <v>259</v>
      </c>
      <c r="B72" s="308">
        <v>94281</v>
      </c>
      <c r="C72" s="345" t="s">
        <v>108</v>
      </c>
      <c r="D72" s="310" t="s">
        <v>41</v>
      </c>
      <c r="E72" s="331">
        <f>'7 - Dren. Sup.- Guias e Sarjeta'!H17</f>
        <v>0</v>
      </c>
      <c r="F72" s="336">
        <v>26.5</v>
      </c>
      <c r="G72" s="313">
        <f t="shared" si="14"/>
        <v>34.748421486027638</v>
      </c>
      <c r="H72" s="312">
        <f t="shared" si="15"/>
        <v>0</v>
      </c>
    </row>
    <row r="73" spans="1:8" ht="30" x14ac:dyDescent="0.25">
      <c r="A73" s="315" t="s">
        <v>260</v>
      </c>
      <c r="B73" s="308">
        <v>94282</v>
      </c>
      <c r="C73" s="345" t="s">
        <v>109</v>
      </c>
      <c r="D73" s="310" t="s">
        <v>41</v>
      </c>
      <c r="E73" s="331">
        <f>'7 - Dren. Sup.- Guias e Sarjeta'!H18</f>
        <v>0</v>
      </c>
      <c r="F73" s="336">
        <v>33.47</v>
      </c>
      <c r="G73" s="313">
        <f t="shared" si="14"/>
        <v>43.887911967446982</v>
      </c>
      <c r="H73" s="312">
        <f t="shared" si="15"/>
        <v>0</v>
      </c>
    </row>
    <row r="74" spans="1:8" ht="30" x14ac:dyDescent="0.25">
      <c r="A74" s="315" t="s">
        <v>261</v>
      </c>
      <c r="B74" s="308">
        <v>94283</v>
      </c>
      <c r="C74" s="345" t="s">
        <v>110</v>
      </c>
      <c r="D74" s="310" t="s">
        <v>41</v>
      </c>
      <c r="E74" s="331">
        <f>'7 - Dren. Sup.- Guias e Sarjeta'!H19</f>
        <v>0</v>
      </c>
      <c r="F74" s="336">
        <v>33.97</v>
      </c>
      <c r="G74" s="313">
        <f t="shared" si="14"/>
        <v>44.543542561522976</v>
      </c>
      <c r="H74" s="312">
        <f t="shared" si="15"/>
        <v>0</v>
      </c>
    </row>
    <row r="75" spans="1:8" ht="30" x14ac:dyDescent="0.25">
      <c r="A75" s="315" t="s">
        <v>262</v>
      </c>
      <c r="B75" s="308">
        <v>94284</v>
      </c>
      <c r="C75" s="345" t="s">
        <v>111</v>
      </c>
      <c r="D75" s="310" t="s">
        <v>41</v>
      </c>
      <c r="E75" s="331">
        <f>'7 - Dren. Sup.- Guias e Sarjeta'!H20</f>
        <v>0</v>
      </c>
      <c r="F75" s="336">
        <v>40.94</v>
      </c>
      <c r="G75" s="313">
        <f t="shared" si="14"/>
        <v>53.68303304294232</v>
      </c>
      <c r="H75" s="312">
        <f t="shared" si="15"/>
        <v>0</v>
      </c>
    </row>
    <row r="76" spans="1:8" ht="30" x14ac:dyDescent="0.25">
      <c r="A76" s="315" t="s">
        <v>125</v>
      </c>
      <c r="B76" s="308">
        <v>94287</v>
      </c>
      <c r="C76" s="345" t="s">
        <v>112</v>
      </c>
      <c r="D76" s="310" t="s">
        <v>41</v>
      </c>
      <c r="E76" s="331">
        <f>'7 - Dren. Sup.- Guias e Sarjeta'!H21</f>
        <v>0</v>
      </c>
      <c r="F76" s="336">
        <v>20.98</v>
      </c>
      <c r="G76" s="313">
        <f t="shared" si="14"/>
        <v>27.510259727428675</v>
      </c>
      <c r="H76" s="312">
        <f t="shared" si="15"/>
        <v>0</v>
      </c>
    </row>
    <row r="77" spans="1:8" ht="30" x14ac:dyDescent="0.25">
      <c r="A77" s="315" t="s">
        <v>142</v>
      </c>
      <c r="B77" s="308">
        <v>94288</v>
      </c>
      <c r="C77" s="345" t="s">
        <v>113</v>
      </c>
      <c r="D77" s="310" t="s">
        <v>41</v>
      </c>
      <c r="E77" s="331">
        <f>'7 - Dren. Sup.- Guias e Sarjeta'!H22</f>
        <v>0</v>
      </c>
      <c r="F77" s="336">
        <v>27.07</v>
      </c>
      <c r="G77" s="313">
        <f t="shared" si="14"/>
        <v>35.495840363274276</v>
      </c>
      <c r="H77" s="312">
        <f t="shared" si="15"/>
        <v>0</v>
      </c>
    </row>
    <row r="78" spans="1:8" ht="30" x14ac:dyDescent="0.25">
      <c r="A78" s="315" t="s">
        <v>143</v>
      </c>
      <c r="B78" s="308">
        <v>94289</v>
      </c>
      <c r="C78" s="345" t="s">
        <v>114</v>
      </c>
      <c r="D78" s="310" t="s">
        <v>41</v>
      </c>
      <c r="E78" s="331">
        <f>'7 - Dren. Sup.- Guias e Sarjeta'!H23</f>
        <v>0</v>
      </c>
      <c r="F78" s="336">
        <v>26.38</v>
      </c>
      <c r="G78" s="313">
        <f t="shared" si="14"/>
        <v>34.5910701434494</v>
      </c>
      <c r="H78" s="312">
        <f t="shared" si="15"/>
        <v>0</v>
      </c>
    </row>
    <row r="79" spans="1:8" ht="30" x14ac:dyDescent="0.25">
      <c r="A79" s="315" t="s">
        <v>144</v>
      </c>
      <c r="B79" s="308">
        <v>94290</v>
      </c>
      <c r="C79" s="345" t="s">
        <v>115</v>
      </c>
      <c r="D79" s="310" t="s">
        <v>41</v>
      </c>
      <c r="E79" s="331">
        <f>'7 - Dren. Sup.- Guias e Sarjeta'!H24</f>
        <v>0</v>
      </c>
      <c r="F79" s="336">
        <v>32.479999999999997</v>
      </c>
      <c r="G79" s="313">
        <f t="shared" si="14"/>
        <v>42.589763391176518</v>
      </c>
      <c r="H79" s="312">
        <f t="shared" si="15"/>
        <v>0</v>
      </c>
    </row>
    <row r="80" spans="1:8" x14ac:dyDescent="0.25">
      <c r="A80" s="303">
        <v>8</v>
      </c>
      <c r="B80" s="328"/>
      <c r="C80" s="305" t="s">
        <v>480</v>
      </c>
      <c r="D80" s="305"/>
      <c r="E80" s="306"/>
      <c r="F80" s="306" t="s">
        <v>50</v>
      </c>
      <c r="G80" s="307">
        <f>H80*(1-$G$5)</f>
        <v>0</v>
      </c>
      <c r="H80" s="307">
        <f>H81+H90+H107+H112+H129+H144+H151+H163</f>
        <v>0</v>
      </c>
    </row>
    <row r="81" spans="1:8" x14ac:dyDescent="0.25">
      <c r="A81" s="346" t="s">
        <v>44</v>
      </c>
      <c r="B81" s="347"/>
      <c r="C81" s="348" t="s">
        <v>173</v>
      </c>
      <c r="D81" s="348"/>
      <c r="E81" s="349"/>
      <c r="F81" s="349" t="s">
        <v>49</v>
      </c>
      <c r="G81" s="350">
        <f>H81*(1-$G$5)</f>
        <v>0</v>
      </c>
      <c r="H81" s="350">
        <f>SUM(H82:H89)</f>
        <v>0</v>
      </c>
    </row>
    <row r="82" spans="1:8" ht="60" x14ac:dyDescent="0.25">
      <c r="A82" s="351" t="s">
        <v>263</v>
      </c>
      <c r="B82" s="351">
        <v>90099</v>
      </c>
      <c r="C82" s="352" t="s">
        <v>134</v>
      </c>
      <c r="D82" s="310" t="s">
        <v>29</v>
      </c>
      <c r="E82" s="331">
        <f>'8 - Dren. Sup. - Poços e Bocas'!I9</f>
        <v>0</v>
      </c>
      <c r="F82" s="344">
        <v>14.18</v>
      </c>
      <c r="G82" s="313">
        <f>F82*(1+$G$5)</f>
        <v>18.593683647995167</v>
      </c>
      <c r="H82" s="312">
        <f>G82*E82</f>
        <v>0</v>
      </c>
    </row>
    <row r="83" spans="1:8" ht="60" x14ac:dyDescent="0.25">
      <c r="A83" s="351" t="s">
        <v>264</v>
      </c>
      <c r="B83" s="351">
        <v>90100</v>
      </c>
      <c r="C83" s="353" t="s">
        <v>135</v>
      </c>
      <c r="D83" s="310" t="s">
        <v>29</v>
      </c>
      <c r="E83" s="331">
        <f>'8 - Dren. Sup. - Poços e Bocas'!I10</f>
        <v>0</v>
      </c>
      <c r="F83" s="354">
        <v>12.08</v>
      </c>
      <c r="G83" s="313">
        <f t="shared" ref="G83:G89" si="16">F83*(1+$G$5)</f>
        <v>15.840035152875997</v>
      </c>
      <c r="H83" s="312">
        <f t="shared" ref="H83:H89" si="17">G83*E83</f>
        <v>0</v>
      </c>
    </row>
    <row r="84" spans="1:8" ht="75" x14ac:dyDescent="0.25">
      <c r="A84" s="351" t="s">
        <v>265</v>
      </c>
      <c r="B84" s="351">
        <v>90101</v>
      </c>
      <c r="C84" s="353" t="s">
        <v>136</v>
      </c>
      <c r="D84" s="310" t="s">
        <v>29</v>
      </c>
      <c r="E84" s="331">
        <f>'8 - Dren. Sup. - Poços e Bocas'!I11</f>
        <v>0</v>
      </c>
      <c r="F84" s="354">
        <v>11.94</v>
      </c>
      <c r="G84" s="313">
        <f t="shared" si="16"/>
        <v>15.656458586534718</v>
      </c>
      <c r="H84" s="312">
        <f t="shared" si="17"/>
        <v>0</v>
      </c>
    </row>
    <row r="85" spans="1:8" ht="75" x14ac:dyDescent="0.25">
      <c r="A85" s="351" t="s">
        <v>266</v>
      </c>
      <c r="B85" s="351">
        <v>90102</v>
      </c>
      <c r="C85" s="355" t="s">
        <v>137</v>
      </c>
      <c r="D85" s="310" t="s">
        <v>29</v>
      </c>
      <c r="E85" s="331">
        <f>'8 - Dren. Sup. - Poços e Bocas'!I12</f>
        <v>0</v>
      </c>
      <c r="F85" s="354">
        <v>10.95</v>
      </c>
      <c r="G85" s="313">
        <f t="shared" si="16"/>
        <v>14.358310010264251</v>
      </c>
      <c r="H85" s="312">
        <f t="shared" si="17"/>
        <v>0</v>
      </c>
    </row>
    <row r="86" spans="1:8" ht="75" x14ac:dyDescent="0.25">
      <c r="A86" s="351" t="s">
        <v>267</v>
      </c>
      <c r="B86" s="351">
        <v>90105</v>
      </c>
      <c r="C86" s="355" t="s">
        <v>138</v>
      </c>
      <c r="D86" s="310" t="s">
        <v>29</v>
      </c>
      <c r="E86" s="331">
        <f>'8 - Dren. Sup. - Poços e Bocas'!I13</f>
        <v>0</v>
      </c>
      <c r="F86" s="354">
        <v>10.81</v>
      </c>
      <c r="G86" s="313">
        <f t="shared" si="16"/>
        <v>14.174733443922975</v>
      </c>
      <c r="H86" s="312">
        <f t="shared" si="17"/>
        <v>0</v>
      </c>
    </row>
    <row r="87" spans="1:8" ht="60" x14ac:dyDescent="0.25">
      <c r="A87" s="351" t="s">
        <v>268</v>
      </c>
      <c r="B87" s="351">
        <v>90106</v>
      </c>
      <c r="C87" s="353" t="s">
        <v>139</v>
      </c>
      <c r="D87" s="310" t="s">
        <v>29</v>
      </c>
      <c r="E87" s="331">
        <f>'8 - Dren. Sup. - Poços e Bocas'!I14</f>
        <v>0</v>
      </c>
      <c r="F87" s="354">
        <v>9.25</v>
      </c>
      <c r="G87" s="313">
        <f t="shared" si="16"/>
        <v>12.129165990405875</v>
      </c>
      <c r="H87" s="312">
        <f t="shared" si="17"/>
        <v>0</v>
      </c>
    </row>
    <row r="88" spans="1:8" ht="75" x14ac:dyDescent="0.25">
      <c r="A88" s="351" t="s">
        <v>269</v>
      </c>
      <c r="B88" s="351">
        <v>90107</v>
      </c>
      <c r="C88" s="353" t="s">
        <v>140</v>
      </c>
      <c r="D88" s="310" t="s">
        <v>29</v>
      </c>
      <c r="E88" s="331">
        <f>'8 - Dren. Sup. - Poços e Bocas'!I15</f>
        <v>0</v>
      </c>
      <c r="F88" s="354">
        <v>9.1199999999999992</v>
      </c>
      <c r="G88" s="313">
        <f t="shared" si="16"/>
        <v>11.958702035946116</v>
      </c>
      <c r="H88" s="312">
        <f t="shared" si="17"/>
        <v>0</v>
      </c>
    </row>
    <row r="89" spans="1:8" ht="75" x14ac:dyDescent="0.25">
      <c r="A89" s="351" t="s">
        <v>270</v>
      </c>
      <c r="B89" s="351">
        <v>90108</v>
      </c>
      <c r="C89" s="355" t="s">
        <v>141</v>
      </c>
      <c r="D89" s="310" t="s">
        <v>29</v>
      </c>
      <c r="E89" s="331">
        <f>'8 - Dren. Sup. - Poços e Bocas'!I16</f>
        <v>0</v>
      </c>
      <c r="F89" s="354">
        <v>8.2899999999999991</v>
      </c>
      <c r="G89" s="313">
        <f t="shared" si="16"/>
        <v>10.870355249779967</v>
      </c>
      <c r="H89" s="312">
        <f t="shared" si="17"/>
        <v>0</v>
      </c>
    </row>
    <row r="90" spans="1:8" x14ac:dyDescent="0.25">
      <c r="A90" s="346" t="s">
        <v>45</v>
      </c>
      <c r="B90" s="347"/>
      <c r="C90" s="348" t="s">
        <v>174</v>
      </c>
      <c r="D90" s="348"/>
      <c r="E90" s="349"/>
      <c r="F90" s="349" t="s">
        <v>49</v>
      </c>
      <c r="G90" s="350">
        <f>H90*(1-$G$5)</f>
        <v>0</v>
      </c>
      <c r="H90" s="350">
        <f>SUM(H91:H106)</f>
        <v>0</v>
      </c>
    </row>
    <row r="91" spans="1:8" ht="45" x14ac:dyDescent="0.25">
      <c r="A91" s="351" t="s">
        <v>271</v>
      </c>
      <c r="B91" s="351">
        <v>94037</v>
      </c>
      <c r="C91" s="355" t="s">
        <v>165</v>
      </c>
      <c r="D91" s="310" t="s">
        <v>19</v>
      </c>
      <c r="E91" s="356">
        <f>'8 - Dren. Sup. - Poços e Bocas'!I18</f>
        <v>0</v>
      </c>
      <c r="F91" s="354">
        <v>11.54</v>
      </c>
      <c r="G91" s="313">
        <f>F91*(1+$G$5)</f>
        <v>15.131954111273922</v>
      </c>
      <c r="H91" s="312">
        <f>G91*E91</f>
        <v>0</v>
      </c>
    </row>
    <row r="92" spans="1:8" ht="45" x14ac:dyDescent="0.25">
      <c r="A92" s="351" t="s">
        <v>272</v>
      </c>
      <c r="B92" s="351">
        <v>94038</v>
      </c>
      <c r="C92" s="355" t="s">
        <v>166</v>
      </c>
      <c r="D92" s="310" t="s">
        <v>19</v>
      </c>
      <c r="E92" s="356">
        <f>'8 - Dren. Sup. - Poços e Bocas'!I19</f>
        <v>0</v>
      </c>
      <c r="F92" s="354">
        <v>16.21</v>
      </c>
      <c r="G92" s="313">
        <f t="shared" ref="G92:G106" si="18">F92*(1+$G$5)</f>
        <v>21.2555438599437</v>
      </c>
      <c r="H92" s="312">
        <f t="shared" ref="H92:H106" si="19">G92*E92</f>
        <v>0</v>
      </c>
    </row>
    <row r="93" spans="1:8" ht="45" x14ac:dyDescent="0.25">
      <c r="A93" s="351" t="s">
        <v>273</v>
      </c>
      <c r="B93" s="351">
        <v>94039</v>
      </c>
      <c r="C93" s="355" t="s">
        <v>167</v>
      </c>
      <c r="D93" s="310" t="s">
        <v>19</v>
      </c>
      <c r="E93" s="356">
        <f>'8 - Dren. Sup. - Poços e Bocas'!I20</f>
        <v>0</v>
      </c>
      <c r="F93" s="354">
        <v>9.07</v>
      </c>
      <c r="G93" s="313">
        <f t="shared" si="18"/>
        <v>11.893138976538518</v>
      </c>
      <c r="H93" s="312">
        <f t="shared" si="19"/>
        <v>0</v>
      </c>
    </row>
    <row r="94" spans="1:8" ht="45" x14ac:dyDescent="0.25">
      <c r="A94" s="351" t="s">
        <v>274</v>
      </c>
      <c r="B94" s="351">
        <v>94040</v>
      </c>
      <c r="C94" s="355" t="s">
        <v>169</v>
      </c>
      <c r="D94" s="310" t="s">
        <v>19</v>
      </c>
      <c r="E94" s="356">
        <f>'8 - Dren. Sup. - Poços e Bocas'!I21</f>
        <v>0</v>
      </c>
      <c r="F94" s="354">
        <v>13.76</v>
      </c>
      <c r="G94" s="313">
        <f t="shared" si="18"/>
        <v>18.042953948971334</v>
      </c>
      <c r="H94" s="312">
        <f t="shared" si="19"/>
        <v>0</v>
      </c>
    </row>
    <row r="95" spans="1:8" ht="45" x14ac:dyDescent="0.25">
      <c r="A95" s="351" t="s">
        <v>275</v>
      </c>
      <c r="B95" s="351">
        <v>94043</v>
      </c>
      <c r="C95" s="355" t="s">
        <v>168</v>
      </c>
      <c r="D95" s="310" t="s">
        <v>19</v>
      </c>
      <c r="E95" s="356">
        <f>'8 - Dren. Sup. - Poços e Bocas'!I22</f>
        <v>0</v>
      </c>
      <c r="F95" s="354">
        <v>10.83</v>
      </c>
      <c r="G95" s="313">
        <f t="shared" si="18"/>
        <v>14.200958667686013</v>
      </c>
      <c r="H95" s="312">
        <f t="shared" si="19"/>
        <v>0</v>
      </c>
    </row>
    <row r="96" spans="1:8" ht="45" x14ac:dyDescent="0.25">
      <c r="A96" s="351" t="s">
        <v>276</v>
      </c>
      <c r="B96" s="351">
        <v>94044</v>
      </c>
      <c r="C96" s="355" t="s">
        <v>172</v>
      </c>
      <c r="D96" s="310" t="s">
        <v>19</v>
      </c>
      <c r="E96" s="356">
        <f>'8 - Dren. Sup. - Poços e Bocas'!I23</f>
        <v>0</v>
      </c>
      <c r="F96" s="354">
        <v>15.52</v>
      </c>
      <c r="G96" s="313">
        <f t="shared" si="18"/>
        <v>20.350773640118828</v>
      </c>
      <c r="H96" s="312">
        <f t="shared" si="19"/>
        <v>0</v>
      </c>
    </row>
    <row r="97" spans="1:8" ht="45" x14ac:dyDescent="0.25">
      <c r="A97" s="351" t="s">
        <v>277</v>
      </c>
      <c r="B97" s="351">
        <v>94045</v>
      </c>
      <c r="C97" s="355" t="s">
        <v>170</v>
      </c>
      <c r="D97" s="310" t="s">
        <v>19</v>
      </c>
      <c r="E97" s="356">
        <f>'8 - Dren. Sup. - Poços e Bocas'!I24</f>
        <v>0</v>
      </c>
      <c r="F97" s="354">
        <v>8.3800000000000008</v>
      </c>
      <c r="G97" s="313">
        <f t="shared" si="18"/>
        <v>10.988368756713648</v>
      </c>
      <c r="H97" s="312">
        <f t="shared" si="19"/>
        <v>0</v>
      </c>
    </row>
    <row r="98" spans="1:8" ht="45" x14ac:dyDescent="0.25">
      <c r="A98" s="351" t="s">
        <v>278</v>
      </c>
      <c r="B98" s="351">
        <v>94046</v>
      </c>
      <c r="C98" s="355" t="s">
        <v>171</v>
      </c>
      <c r="D98" s="310" t="s">
        <v>19</v>
      </c>
      <c r="E98" s="356">
        <f>'8 - Dren. Sup. - Poços e Bocas'!I25</f>
        <v>0</v>
      </c>
      <c r="F98" s="354">
        <v>13.04</v>
      </c>
      <c r="G98" s="313">
        <f t="shared" si="18"/>
        <v>17.098845893501903</v>
      </c>
      <c r="H98" s="312">
        <f t="shared" si="19"/>
        <v>0</v>
      </c>
    </row>
    <row r="99" spans="1:8" ht="45" x14ac:dyDescent="0.25">
      <c r="A99" s="351" t="s">
        <v>279</v>
      </c>
      <c r="B99" s="351">
        <v>94049</v>
      </c>
      <c r="C99" s="357" t="s">
        <v>213</v>
      </c>
      <c r="D99" s="310" t="s">
        <v>19</v>
      </c>
      <c r="E99" s="356">
        <f>'8 - Dren. Sup. - Poços e Bocas'!I26</f>
        <v>0</v>
      </c>
      <c r="F99" s="354">
        <v>19.440000000000001</v>
      </c>
      <c r="G99" s="313">
        <f t="shared" si="18"/>
        <v>25.490917497674619</v>
      </c>
      <c r="H99" s="312">
        <f t="shared" si="19"/>
        <v>0</v>
      </c>
    </row>
    <row r="100" spans="1:8" ht="45" x14ac:dyDescent="0.25">
      <c r="A100" s="351" t="s">
        <v>280</v>
      </c>
      <c r="B100" s="351">
        <v>94050</v>
      </c>
      <c r="C100" s="355" t="s">
        <v>214</v>
      </c>
      <c r="D100" s="310" t="s">
        <v>19</v>
      </c>
      <c r="E100" s="356">
        <f>'8 - Dren. Sup. - Poços e Bocas'!I27</f>
        <v>0</v>
      </c>
      <c r="F100" s="354">
        <v>25.49</v>
      </c>
      <c r="G100" s="313">
        <f t="shared" si="18"/>
        <v>33.424047685994132</v>
      </c>
      <c r="H100" s="312">
        <f t="shared" si="19"/>
        <v>0</v>
      </c>
    </row>
    <row r="101" spans="1:8" ht="45" x14ac:dyDescent="0.25">
      <c r="A101" s="351" t="s">
        <v>281</v>
      </c>
      <c r="B101" s="351">
        <v>94051</v>
      </c>
      <c r="C101" s="355" t="s">
        <v>215</v>
      </c>
      <c r="D101" s="310" t="s">
        <v>19</v>
      </c>
      <c r="E101" s="356">
        <f>'8 - Dren. Sup. - Poços e Bocas'!I28</f>
        <v>0</v>
      </c>
      <c r="F101" s="354">
        <v>16.05</v>
      </c>
      <c r="G101" s="313">
        <f t="shared" si="18"/>
        <v>21.045742069839385</v>
      </c>
      <c r="H101" s="312">
        <f t="shared" si="19"/>
        <v>0</v>
      </c>
    </row>
    <row r="102" spans="1:8" ht="45" x14ac:dyDescent="0.25">
      <c r="A102" s="351" t="s">
        <v>282</v>
      </c>
      <c r="B102" s="351">
        <v>94052</v>
      </c>
      <c r="C102" s="355" t="s">
        <v>216</v>
      </c>
      <c r="D102" s="310" t="s">
        <v>19</v>
      </c>
      <c r="E102" s="356">
        <f>'8 - Dren. Sup. - Poços e Bocas'!I29</f>
        <v>0</v>
      </c>
      <c r="F102" s="354">
        <v>21.98</v>
      </c>
      <c r="G102" s="313">
        <f t="shared" si="18"/>
        <v>28.821520915580663</v>
      </c>
      <c r="H102" s="312">
        <f t="shared" si="19"/>
        <v>0</v>
      </c>
    </row>
    <row r="103" spans="1:8" ht="45" x14ac:dyDescent="0.25">
      <c r="A103" s="351" t="s">
        <v>283</v>
      </c>
      <c r="B103" s="351">
        <v>94055</v>
      </c>
      <c r="C103" s="355" t="s">
        <v>217</v>
      </c>
      <c r="D103" s="310" t="s">
        <v>19</v>
      </c>
      <c r="E103" s="356">
        <f>'8 - Dren. Sup. - Poços e Bocas'!I30</f>
        <v>0</v>
      </c>
      <c r="F103" s="354">
        <v>18.510000000000002</v>
      </c>
      <c r="G103" s="313">
        <f t="shared" si="18"/>
        <v>24.271444592693271</v>
      </c>
      <c r="H103" s="312">
        <f t="shared" si="19"/>
        <v>0</v>
      </c>
    </row>
    <row r="104" spans="1:8" ht="45" x14ac:dyDescent="0.25">
      <c r="A104" s="351" t="s">
        <v>284</v>
      </c>
      <c r="B104" s="351">
        <v>94056</v>
      </c>
      <c r="C104" s="355" t="s">
        <v>218</v>
      </c>
      <c r="D104" s="310" t="s">
        <v>19</v>
      </c>
      <c r="E104" s="356">
        <f>'8 - Dren. Sup. - Poços e Bocas'!I31</f>
        <v>0</v>
      </c>
      <c r="F104" s="354">
        <v>24.58</v>
      </c>
      <c r="G104" s="313">
        <f t="shared" si="18"/>
        <v>32.230800004775823</v>
      </c>
      <c r="H104" s="312">
        <f t="shared" si="19"/>
        <v>0</v>
      </c>
    </row>
    <row r="105" spans="1:8" ht="45" x14ac:dyDescent="0.25">
      <c r="A105" s="351" t="s">
        <v>285</v>
      </c>
      <c r="B105" s="351">
        <v>94057</v>
      </c>
      <c r="C105" s="355" t="s">
        <v>219</v>
      </c>
      <c r="D105" s="310" t="s">
        <v>19</v>
      </c>
      <c r="E105" s="356">
        <f>'8 - Dren. Sup. - Poços e Bocas'!I32</f>
        <v>0</v>
      </c>
      <c r="F105" s="354">
        <v>15.14</v>
      </c>
      <c r="G105" s="313">
        <f t="shared" si="18"/>
        <v>19.852494388621075</v>
      </c>
      <c r="H105" s="312">
        <f t="shared" si="19"/>
        <v>0</v>
      </c>
    </row>
    <row r="106" spans="1:8" ht="45" x14ac:dyDescent="0.25">
      <c r="A106" s="351" t="s">
        <v>286</v>
      </c>
      <c r="B106" s="351">
        <v>94058</v>
      </c>
      <c r="C106" s="352" t="s">
        <v>220</v>
      </c>
      <c r="D106" s="310" t="s">
        <v>19</v>
      </c>
      <c r="E106" s="356">
        <f>'8 - Dren. Sup. - Poços e Bocas'!I33</f>
        <v>0</v>
      </c>
      <c r="F106" s="354">
        <v>21.06</v>
      </c>
      <c r="G106" s="313">
        <f t="shared" si="18"/>
        <v>27.615160622480833</v>
      </c>
      <c r="H106" s="312">
        <f t="shared" si="19"/>
        <v>0</v>
      </c>
    </row>
    <row r="107" spans="1:8" ht="15.75" x14ac:dyDescent="0.25">
      <c r="A107" s="358" t="s">
        <v>126</v>
      </c>
      <c r="B107" s="359"/>
      <c r="C107" s="360" t="s">
        <v>176</v>
      </c>
      <c r="D107" s="360"/>
      <c r="E107" s="361"/>
      <c r="F107" s="349" t="s">
        <v>49</v>
      </c>
      <c r="G107" s="350">
        <f>H107*(1-$G$5)</f>
        <v>0</v>
      </c>
      <c r="H107" s="350">
        <f>SUM(H108:H111)</f>
        <v>0</v>
      </c>
    </row>
    <row r="108" spans="1:8" ht="30" x14ac:dyDescent="0.25">
      <c r="A108" s="351" t="s">
        <v>287</v>
      </c>
      <c r="B108" s="351">
        <v>94097</v>
      </c>
      <c r="C108" s="355" t="s">
        <v>145</v>
      </c>
      <c r="D108" s="362" t="s">
        <v>19</v>
      </c>
      <c r="E108" s="356">
        <f>'8 - Dren. Sup. - Poços e Bocas'!I35</f>
        <v>0</v>
      </c>
      <c r="F108" s="363">
        <v>3.46</v>
      </c>
      <c r="G108" s="313">
        <f t="shared" ref="G108:G111" si="20">F108*(1+$G$5)</f>
        <v>4.5369637110058729</v>
      </c>
      <c r="H108" s="312">
        <f t="shared" ref="H108" si="21">G108*E108</f>
        <v>0</v>
      </c>
    </row>
    <row r="109" spans="1:8" ht="30" x14ac:dyDescent="0.25">
      <c r="A109" s="351" t="s">
        <v>288</v>
      </c>
      <c r="B109" s="351">
        <v>94098</v>
      </c>
      <c r="C109" s="355" t="s">
        <v>146</v>
      </c>
      <c r="D109" s="362" t="s">
        <v>19</v>
      </c>
      <c r="E109" s="356">
        <f>'8 - Dren. Sup. - Poços e Bocas'!I36</f>
        <v>0</v>
      </c>
      <c r="F109" s="363">
        <v>3.92</v>
      </c>
      <c r="G109" s="313">
        <f t="shared" si="20"/>
        <v>5.1401438575557865</v>
      </c>
      <c r="H109" s="312">
        <f t="shared" ref="H109:H111" si="22">G109*E109</f>
        <v>0</v>
      </c>
    </row>
    <row r="110" spans="1:8" ht="45" x14ac:dyDescent="0.25">
      <c r="A110" s="351" t="s">
        <v>289</v>
      </c>
      <c r="B110" s="351">
        <v>94099</v>
      </c>
      <c r="C110" s="355" t="s">
        <v>147</v>
      </c>
      <c r="D110" s="362" t="s">
        <v>19</v>
      </c>
      <c r="E110" s="356">
        <f>'8 - Dren. Sup. - Poços e Bocas'!I37</f>
        <v>0</v>
      </c>
      <c r="F110" s="363">
        <v>1.71</v>
      </c>
      <c r="G110" s="313">
        <f t="shared" si="20"/>
        <v>2.2422566317398966</v>
      </c>
      <c r="H110" s="312">
        <f t="shared" si="22"/>
        <v>0</v>
      </c>
    </row>
    <row r="111" spans="1:8" ht="45" x14ac:dyDescent="0.25">
      <c r="A111" s="351" t="s">
        <v>290</v>
      </c>
      <c r="B111" s="351">
        <v>94100</v>
      </c>
      <c r="C111" s="353" t="s">
        <v>148</v>
      </c>
      <c r="D111" s="362" t="s">
        <v>19</v>
      </c>
      <c r="E111" s="356">
        <f>'8 - Dren. Sup. - Poços e Bocas'!I38</f>
        <v>0</v>
      </c>
      <c r="F111" s="363">
        <v>2.17</v>
      </c>
      <c r="G111" s="313">
        <f t="shared" si="20"/>
        <v>2.8454367782898107</v>
      </c>
      <c r="H111" s="312">
        <f t="shared" si="22"/>
        <v>0</v>
      </c>
    </row>
    <row r="112" spans="1:8" ht="15.75" x14ac:dyDescent="0.25">
      <c r="A112" s="358" t="s">
        <v>234</v>
      </c>
      <c r="B112" s="359"/>
      <c r="C112" s="360" t="s">
        <v>175</v>
      </c>
      <c r="D112" s="360"/>
      <c r="E112" s="361"/>
      <c r="F112" s="349" t="s">
        <v>49</v>
      </c>
      <c r="G112" s="350">
        <f>H112*(1-$G$5)</f>
        <v>0</v>
      </c>
      <c r="H112" s="350">
        <f>SUM(H113:H128)</f>
        <v>0</v>
      </c>
    </row>
    <row r="113" spans="1:8" ht="45" x14ac:dyDescent="0.25">
      <c r="A113" s="351" t="s">
        <v>291</v>
      </c>
      <c r="B113" s="351">
        <v>94102</v>
      </c>
      <c r="C113" s="355" t="s">
        <v>607</v>
      </c>
      <c r="D113" s="310" t="s">
        <v>29</v>
      </c>
      <c r="E113" s="356">
        <f>'8 - Dren. Sup. - Poços e Bocas'!I40</f>
        <v>0</v>
      </c>
      <c r="F113" s="363">
        <v>127.24</v>
      </c>
      <c r="G113" s="313">
        <f t="shared" ref="G113:G128" si="23">F113*(1+$G$5)</f>
        <v>166.84487358045874</v>
      </c>
      <c r="H113" s="312">
        <f t="shared" ref="H113" si="24">G113*E113</f>
        <v>0</v>
      </c>
    </row>
    <row r="114" spans="1:8" ht="45" x14ac:dyDescent="0.25">
      <c r="A114" s="351" t="s">
        <v>292</v>
      </c>
      <c r="B114" s="351">
        <v>94103</v>
      </c>
      <c r="C114" s="355" t="s">
        <v>608</v>
      </c>
      <c r="D114" s="310" t="s">
        <v>29</v>
      </c>
      <c r="E114" s="356">
        <f>'8 - Dren. Sup. - Poços e Bocas'!I41</f>
        <v>0</v>
      </c>
      <c r="F114" s="363">
        <v>146.66</v>
      </c>
      <c r="G114" s="313">
        <f t="shared" si="23"/>
        <v>192.30956585437033</v>
      </c>
      <c r="H114" s="312">
        <f t="shared" ref="H114:H128" si="25">G114*E114</f>
        <v>0</v>
      </c>
    </row>
    <row r="115" spans="1:8" ht="45" x14ac:dyDescent="0.25">
      <c r="A115" s="351" t="s">
        <v>293</v>
      </c>
      <c r="B115" s="351">
        <v>94104</v>
      </c>
      <c r="C115" s="355" t="s">
        <v>609</v>
      </c>
      <c r="D115" s="310" t="s">
        <v>29</v>
      </c>
      <c r="E115" s="356">
        <f>'8 - Dren. Sup. - Poços e Bocas'!I42</f>
        <v>0</v>
      </c>
      <c r="F115" s="363">
        <v>129.88999999999999</v>
      </c>
      <c r="G115" s="313">
        <f t="shared" si="23"/>
        <v>170.3197157290615</v>
      </c>
      <c r="H115" s="312">
        <f t="shared" si="25"/>
        <v>0</v>
      </c>
    </row>
    <row r="116" spans="1:8" ht="45" x14ac:dyDescent="0.25">
      <c r="A116" s="351" t="s">
        <v>294</v>
      </c>
      <c r="B116" s="351">
        <v>94105</v>
      </c>
      <c r="C116" s="355" t="s">
        <v>610</v>
      </c>
      <c r="D116" s="310" t="s">
        <v>29</v>
      </c>
      <c r="E116" s="356">
        <f>'8 - Dren. Sup. - Poços e Bocas'!I43</f>
        <v>0</v>
      </c>
      <c r="F116" s="363">
        <v>149.31</v>
      </c>
      <c r="G116" s="313">
        <f t="shared" si="23"/>
        <v>195.78440800297309</v>
      </c>
      <c r="H116" s="312">
        <f t="shared" si="25"/>
        <v>0</v>
      </c>
    </row>
    <row r="117" spans="1:8" ht="45" x14ac:dyDescent="0.25">
      <c r="A117" s="351" t="s">
        <v>295</v>
      </c>
      <c r="B117" s="351">
        <v>94106</v>
      </c>
      <c r="C117" s="355" t="s">
        <v>611</v>
      </c>
      <c r="D117" s="310" t="s">
        <v>29</v>
      </c>
      <c r="E117" s="356">
        <f>'8 - Dren. Sup. - Poços e Bocas'!I44</f>
        <v>0</v>
      </c>
      <c r="F117" s="363">
        <v>113.78</v>
      </c>
      <c r="G117" s="313">
        <f t="shared" si="23"/>
        <v>149.19529798793303</v>
      </c>
      <c r="H117" s="312">
        <f t="shared" si="25"/>
        <v>0</v>
      </c>
    </row>
    <row r="118" spans="1:8" ht="45" x14ac:dyDescent="0.25">
      <c r="A118" s="351" t="s">
        <v>296</v>
      </c>
      <c r="B118" s="351">
        <v>94107</v>
      </c>
      <c r="C118" s="355" t="s">
        <v>612</v>
      </c>
      <c r="D118" s="310" t="s">
        <v>29</v>
      </c>
      <c r="E118" s="356">
        <f>'8 - Dren. Sup. - Poços e Bocas'!I45</f>
        <v>0</v>
      </c>
      <c r="F118" s="363">
        <v>133.22</v>
      </c>
      <c r="G118" s="313">
        <f t="shared" si="23"/>
        <v>174.68621548560762</v>
      </c>
      <c r="H118" s="312">
        <f t="shared" si="25"/>
        <v>0</v>
      </c>
    </row>
    <row r="119" spans="1:8" ht="45" x14ac:dyDescent="0.25">
      <c r="A119" s="351" t="s">
        <v>297</v>
      </c>
      <c r="B119" s="351">
        <v>94108</v>
      </c>
      <c r="C119" s="355" t="s">
        <v>613</v>
      </c>
      <c r="D119" s="310" t="s">
        <v>29</v>
      </c>
      <c r="E119" s="356">
        <f>'8 - Dren. Sup. - Poços e Bocas'!I46</f>
        <v>0</v>
      </c>
      <c r="F119" s="363">
        <v>116.44</v>
      </c>
      <c r="G119" s="313">
        <f t="shared" si="23"/>
        <v>152.68325274841729</v>
      </c>
      <c r="H119" s="312">
        <f t="shared" si="25"/>
        <v>0</v>
      </c>
    </row>
    <row r="120" spans="1:8" ht="45" x14ac:dyDescent="0.25">
      <c r="A120" s="351" t="s">
        <v>298</v>
      </c>
      <c r="B120" s="351">
        <v>94110</v>
      </c>
      <c r="C120" s="355" t="s">
        <v>614</v>
      </c>
      <c r="D120" s="310" t="s">
        <v>29</v>
      </c>
      <c r="E120" s="356">
        <f>'8 - Dren. Sup. - Poços e Bocas'!I47</f>
        <v>0</v>
      </c>
      <c r="F120" s="363">
        <v>135.85</v>
      </c>
      <c r="G120" s="313">
        <f t="shared" si="23"/>
        <v>178.13483241044736</v>
      </c>
      <c r="H120" s="312">
        <f t="shared" si="25"/>
        <v>0</v>
      </c>
    </row>
    <row r="121" spans="1:8" ht="45" x14ac:dyDescent="0.25">
      <c r="A121" s="351" t="s">
        <v>299</v>
      </c>
      <c r="B121" s="351">
        <v>94111</v>
      </c>
      <c r="C121" s="355" t="s">
        <v>615</v>
      </c>
      <c r="D121" s="310" t="s">
        <v>29</v>
      </c>
      <c r="E121" s="356">
        <f>'8 - Dren. Sup. - Poços e Bocas'!I48</f>
        <v>0</v>
      </c>
      <c r="F121" s="363">
        <v>113.46</v>
      </c>
      <c r="G121" s="313">
        <f t="shared" si="23"/>
        <v>148.77569440772439</v>
      </c>
      <c r="H121" s="312">
        <f t="shared" si="25"/>
        <v>0</v>
      </c>
    </row>
    <row r="122" spans="1:8" ht="45" x14ac:dyDescent="0.25">
      <c r="A122" s="351" t="s">
        <v>300</v>
      </c>
      <c r="B122" s="351">
        <v>94112</v>
      </c>
      <c r="C122" s="355" t="s">
        <v>616</v>
      </c>
      <c r="D122" s="310" t="s">
        <v>29</v>
      </c>
      <c r="E122" s="356">
        <f>'8 - Dren. Sup. - Poços e Bocas'!I49</f>
        <v>0</v>
      </c>
      <c r="F122" s="363">
        <v>129.66999999999999</v>
      </c>
      <c r="G122" s="313">
        <f t="shared" si="23"/>
        <v>170.03123826766807</v>
      </c>
      <c r="H122" s="312">
        <f t="shared" si="25"/>
        <v>0</v>
      </c>
    </row>
    <row r="123" spans="1:8" ht="45" x14ac:dyDescent="0.25">
      <c r="A123" s="351" t="s">
        <v>301</v>
      </c>
      <c r="B123" s="351">
        <v>94113</v>
      </c>
      <c r="C123" s="355" t="s">
        <v>617</v>
      </c>
      <c r="D123" s="310" t="s">
        <v>29</v>
      </c>
      <c r="E123" s="356">
        <f>'8 - Dren. Sup. - Poços e Bocas'!I50</f>
        <v>0</v>
      </c>
      <c r="F123" s="363">
        <v>118.11</v>
      </c>
      <c r="G123" s="313">
        <f t="shared" si="23"/>
        <v>154.87305893263112</v>
      </c>
      <c r="H123" s="312">
        <f t="shared" si="25"/>
        <v>0</v>
      </c>
    </row>
    <row r="124" spans="1:8" ht="45" x14ac:dyDescent="0.25">
      <c r="A124" s="351" t="s">
        <v>302</v>
      </c>
      <c r="B124" s="351">
        <v>94114</v>
      </c>
      <c r="C124" s="355" t="s">
        <v>618</v>
      </c>
      <c r="D124" s="310" t="s">
        <v>29</v>
      </c>
      <c r="E124" s="356">
        <f>'8 - Dren. Sup. - Poços e Bocas'!I51</f>
        <v>0</v>
      </c>
      <c r="F124" s="363">
        <v>134.91</v>
      </c>
      <c r="G124" s="313">
        <f t="shared" si="23"/>
        <v>176.90224689358448</v>
      </c>
      <c r="H124" s="312">
        <f t="shared" si="25"/>
        <v>0</v>
      </c>
    </row>
    <row r="125" spans="1:8" ht="45" x14ac:dyDescent="0.25">
      <c r="A125" s="351" t="s">
        <v>303</v>
      </c>
      <c r="B125" s="351">
        <v>94115</v>
      </c>
      <c r="C125" s="355" t="s">
        <v>619</v>
      </c>
      <c r="D125" s="310" t="s">
        <v>29</v>
      </c>
      <c r="E125" s="356">
        <f>'8 - Dren. Sup. - Poços e Bocas'!I52</f>
        <v>0</v>
      </c>
      <c r="F125" s="363">
        <v>91.68</v>
      </c>
      <c r="G125" s="313">
        <f t="shared" si="23"/>
        <v>120.21642572977413</v>
      </c>
      <c r="H125" s="312">
        <f t="shared" si="25"/>
        <v>0</v>
      </c>
    </row>
    <row r="126" spans="1:8" ht="45" x14ac:dyDescent="0.25">
      <c r="A126" s="351" t="s">
        <v>304</v>
      </c>
      <c r="B126" s="351">
        <v>94116</v>
      </c>
      <c r="C126" s="355" t="s">
        <v>620</v>
      </c>
      <c r="D126" s="310" t="s">
        <v>29</v>
      </c>
      <c r="E126" s="356">
        <f>'8 - Dren. Sup. - Poços e Bocas'!I53</f>
        <v>0</v>
      </c>
      <c r="F126" s="363">
        <v>104.75</v>
      </c>
      <c r="G126" s="313">
        <f t="shared" si="23"/>
        <v>137.35460945892058</v>
      </c>
      <c r="H126" s="312">
        <f t="shared" si="25"/>
        <v>0</v>
      </c>
    </row>
    <row r="127" spans="1:8" ht="45" x14ac:dyDescent="0.25">
      <c r="A127" s="351" t="s">
        <v>305</v>
      </c>
      <c r="B127" s="351">
        <v>94117</v>
      </c>
      <c r="C127" s="355" t="s">
        <v>621</v>
      </c>
      <c r="D127" s="310" t="s">
        <v>29</v>
      </c>
      <c r="E127" s="356">
        <f>'8 - Dren. Sup. - Poços e Bocas'!I54</f>
        <v>0</v>
      </c>
      <c r="F127" s="363">
        <v>96</v>
      </c>
      <c r="G127" s="313">
        <f t="shared" si="23"/>
        <v>125.8810740625907</v>
      </c>
      <c r="H127" s="312">
        <f t="shared" si="25"/>
        <v>0</v>
      </c>
    </row>
    <row r="128" spans="1:8" ht="45" x14ac:dyDescent="0.25">
      <c r="A128" s="351" t="s">
        <v>306</v>
      </c>
      <c r="B128" s="351">
        <v>94118</v>
      </c>
      <c r="C128" s="355" t="s">
        <v>622</v>
      </c>
      <c r="D128" s="310" t="s">
        <v>29</v>
      </c>
      <c r="E128" s="356">
        <f>'8 - Dren. Sup. - Poços e Bocas'!I55</f>
        <v>0</v>
      </c>
      <c r="F128" s="363">
        <v>109.83</v>
      </c>
      <c r="G128" s="313">
        <f t="shared" si="23"/>
        <v>144.01581629473267</v>
      </c>
      <c r="H128" s="312">
        <f t="shared" si="25"/>
        <v>0</v>
      </c>
    </row>
    <row r="129" spans="1:8" x14ac:dyDescent="0.25">
      <c r="A129" s="346" t="s">
        <v>235</v>
      </c>
      <c r="B129" s="364"/>
      <c r="C129" s="365" t="s">
        <v>205</v>
      </c>
      <c r="D129" s="365"/>
      <c r="E129" s="366"/>
      <c r="F129" s="349" t="s">
        <v>49</v>
      </c>
      <c r="G129" s="350">
        <f>H129*(1-$G$5)</f>
        <v>0</v>
      </c>
      <c r="H129" s="350">
        <f>SUM(H130:H143)</f>
        <v>0</v>
      </c>
    </row>
    <row r="130" spans="1:8" ht="45" x14ac:dyDescent="0.25">
      <c r="A130" s="351" t="s">
        <v>307</v>
      </c>
      <c r="B130" s="351">
        <v>92210</v>
      </c>
      <c r="C130" s="367" t="s">
        <v>177</v>
      </c>
      <c r="D130" s="310" t="s">
        <v>41</v>
      </c>
      <c r="E130" s="356">
        <f>'8 - Dren. Sup. - Poços e Bocas'!I57</f>
        <v>0</v>
      </c>
      <c r="F130" s="363">
        <v>80.97</v>
      </c>
      <c r="G130" s="313">
        <f t="shared" ref="G130:G143" si="26">F130*(1+$G$5)</f>
        <v>106.17281840466634</v>
      </c>
      <c r="H130" s="312">
        <f t="shared" ref="H130" si="27">G130*E130</f>
        <v>0</v>
      </c>
    </row>
    <row r="131" spans="1:8" ht="35.25" customHeight="1" x14ac:dyDescent="0.25">
      <c r="A131" s="351" t="s">
        <v>308</v>
      </c>
      <c r="B131" s="351">
        <v>92211</v>
      </c>
      <c r="C131" s="357" t="s">
        <v>178</v>
      </c>
      <c r="D131" s="310" t="s">
        <v>41</v>
      </c>
      <c r="E131" s="356">
        <f>'8 - Dren. Sup. - Poços e Bocas'!I58</f>
        <v>0</v>
      </c>
      <c r="F131" s="363">
        <v>103.57</v>
      </c>
      <c r="G131" s="313">
        <f t="shared" si="26"/>
        <v>135.80732125690122</v>
      </c>
      <c r="H131" s="312">
        <f t="shared" ref="H131:H143" si="28">G131*E131</f>
        <v>0</v>
      </c>
    </row>
    <row r="132" spans="1:8" ht="45" x14ac:dyDescent="0.25">
      <c r="A132" s="351" t="s">
        <v>309</v>
      </c>
      <c r="B132" s="351">
        <v>92212</v>
      </c>
      <c r="C132" s="357" t="s">
        <v>179</v>
      </c>
      <c r="D132" s="310" t="s">
        <v>41</v>
      </c>
      <c r="E132" s="356">
        <f>'8 - Dren. Sup. - Poços e Bocas'!I59</f>
        <v>0</v>
      </c>
      <c r="F132" s="363">
        <v>131.82</v>
      </c>
      <c r="G132" s="313">
        <f t="shared" si="26"/>
        <v>172.85044982219483</v>
      </c>
      <c r="H132" s="312">
        <f t="shared" si="28"/>
        <v>0</v>
      </c>
    </row>
    <row r="133" spans="1:8" ht="45" x14ac:dyDescent="0.25">
      <c r="A133" s="351" t="s">
        <v>310</v>
      </c>
      <c r="B133" s="351">
        <v>92213</v>
      </c>
      <c r="C133" s="357" t="s">
        <v>180</v>
      </c>
      <c r="D133" s="310" t="s">
        <v>41</v>
      </c>
      <c r="E133" s="356">
        <f>'8 - Dren. Sup. - Poços e Bocas'!I60</f>
        <v>0</v>
      </c>
      <c r="F133" s="363">
        <v>173.43</v>
      </c>
      <c r="G133" s="313">
        <f t="shared" si="26"/>
        <v>227.41202786119902</v>
      </c>
      <c r="H133" s="312">
        <f t="shared" si="28"/>
        <v>0</v>
      </c>
    </row>
    <row r="134" spans="1:8" ht="45" x14ac:dyDescent="0.25">
      <c r="A134" s="351" t="s">
        <v>311</v>
      </c>
      <c r="B134" s="351">
        <v>92214</v>
      </c>
      <c r="C134" s="357" t="s">
        <v>181</v>
      </c>
      <c r="D134" s="310" t="s">
        <v>41</v>
      </c>
      <c r="E134" s="356">
        <f>'8 - Dren. Sup. - Poços e Bocas'!I61</f>
        <v>0</v>
      </c>
      <c r="F134" s="363">
        <v>198.19</v>
      </c>
      <c r="G134" s="313">
        <f t="shared" si="26"/>
        <v>259.87885487984221</v>
      </c>
      <c r="H134" s="312">
        <f t="shared" si="28"/>
        <v>0</v>
      </c>
    </row>
    <row r="135" spans="1:8" ht="45" x14ac:dyDescent="0.25">
      <c r="A135" s="351" t="s">
        <v>312</v>
      </c>
      <c r="B135" s="351">
        <v>92215</v>
      </c>
      <c r="C135" s="357" t="s">
        <v>182</v>
      </c>
      <c r="D135" s="310" t="s">
        <v>41</v>
      </c>
      <c r="E135" s="356">
        <f>'8 - Dren. Sup. - Poços e Bocas'!I62</f>
        <v>0</v>
      </c>
      <c r="F135" s="363">
        <v>239.04</v>
      </c>
      <c r="G135" s="313">
        <f t="shared" si="26"/>
        <v>313.44387441585081</v>
      </c>
      <c r="H135" s="312">
        <f t="shared" si="28"/>
        <v>0</v>
      </c>
    </row>
    <row r="136" spans="1:8" ht="45" x14ac:dyDescent="0.25">
      <c r="A136" s="351" t="s">
        <v>313</v>
      </c>
      <c r="B136" s="351">
        <v>92216</v>
      </c>
      <c r="C136" s="357" t="s">
        <v>183</v>
      </c>
      <c r="D136" s="310" t="s">
        <v>41</v>
      </c>
      <c r="E136" s="356">
        <f>'8 - Dren. Sup. - Poços e Bocas'!I63</f>
        <v>0</v>
      </c>
      <c r="F136" s="363">
        <v>268.38</v>
      </c>
      <c r="G136" s="313">
        <f t="shared" si="26"/>
        <v>351.9162776762301</v>
      </c>
      <c r="H136" s="312">
        <f t="shared" si="28"/>
        <v>0</v>
      </c>
    </row>
    <row r="137" spans="1:8" ht="45" x14ac:dyDescent="0.25">
      <c r="A137" s="351" t="s">
        <v>314</v>
      </c>
      <c r="B137" s="351">
        <v>92219</v>
      </c>
      <c r="C137" s="357" t="s">
        <v>184</v>
      </c>
      <c r="D137" s="310" t="s">
        <v>41</v>
      </c>
      <c r="E137" s="356">
        <f>'8 - Dren. Sup. - Poços e Bocas'!I64</f>
        <v>0</v>
      </c>
      <c r="F137" s="363">
        <v>87.23</v>
      </c>
      <c r="G137" s="313">
        <f t="shared" si="26"/>
        <v>114.38131344249778</v>
      </c>
      <c r="H137" s="312">
        <f t="shared" si="28"/>
        <v>0</v>
      </c>
    </row>
    <row r="138" spans="1:8" ht="45" x14ac:dyDescent="0.25">
      <c r="A138" s="351" t="s">
        <v>315</v>
      </c>
      <c r="B138" s="351">
        <v>92220</v>
      </c>
      <c r="C138" s="357" t="s">
        <v>185</v>
      </c>
      <c r="D138" s="310" t="s">
        <v>41</v>
      </c>
      <c r="E138" s="356">
        <f>'8 - Dren. Sup. - Poços e Bocas'!I65</f>
        <v>0</v>
      </c>
      <c r="F138" s="363">
        <v>111.33</v>
      </c>
      <c r="G138" s="313">
        <f t="shared" si="26"/>
        <v>145.98270807696065</v>
      </c>
      <c r="H138" s="312">
        <f t="shared" si="28"/>
        <v>0</v>
      </c>
    </row>
    <row r="139" spans="1:8" ht="45" x14ac:dyDescent="0.25">
      <c r="A139" s="351" t="s">
        <v>316</v>
      </c>
      <c r="B139" s="351">
        <v>92221</v>
      </c>
      <c r="C139" s="357" t="s">
        <v>186</v>
      </c>
      <c r="D139" s="310" t="s">
        <v>41</v>
      </c>
      <c r="E139" s="356">
        <f>'8 - Dren. Sup. - Poços e Bocas'!I66</f>
        <v>0</v>
      </c>
      <c r="F139" s="363">
        <v>140.93</v>
      </c>
      <c r="G139" s="313">
        <f t="shared" si="26"/>
        <v>184.79603924625945</v>
      </c>
      <c r="H139" s="312">
        <f t="shared" si="28"/>
        <v>0</v>
      </c>
    </row>
    <row r="140" spans="1:8" ht="45" x14ac:dyDescent="0.25">
      <c r="A140" s="351" t="s">
        <v>317</v>
      </c>
      <c r="B140" s="351">
        <v>92222</v>
      </c>
      <c r="C140" s="357" t="s">
        <v>187</v>
      </c>
      <c r="D140" s="310" t="s">
        <v>41</v>
      </c>
      <c r="E140" s="356">
        <f>'8 - Dren. Sup. - Poços e Bocas'!I67</f>
        <v>0</v>
      </c>
      <c r="F140" s="363">
        <v>184</v>
      </c>
      <c r="G140" s="313">
        <f t="shared" si="26"/>
        <v>241.27205861996549</v>
      </c>
      <c r="H140" s="312">
        <f t="shared" si="28"/>
        <v>0</v>
      </c>
    </row>
    <row r="141" spans="1:8" ht="45" x14ac:dyDescent="0.25">
      <c r="A141" s="351" t="s">
        <v>318</v>
      </c>
      <c r="B141" s="351">
        <v>92223</v>
      </c>
      <c r="C141" s="357" t="s">
        <v>188</v>
      </c>
      <c r="D141" s="310" t="s">
        <v>41</v>
      </c>
      <c r="E141" s="356">
        <f>'8 - Dren. Sup. - Poços e Bocas'!I68</f>
        <v>0</v>
      </c>
      <c r="F141" s="363">
        <v>210.01</v>
      </c>
      <c r="G141" s="313">
        <f t="shared" si="26"/>
        <v>275.37796212379868</v>
      </c>
      <c r="H141" s="312">
        <f t="shared" si="28"/>
        <v>0</v>
      </c>
    </row>
    <row r="142" spans="1:8" ht="45" x14ac:dyDescent="0.25">
      <c r="A142" s="351" t="s">
        <v>319</v>
      </c>
      <c r="B142" s="351">
        <v>92224</v>
      </c>
      <c r="C142" s="357" t="s">
        <v>189</v>
      </c>
      <c r="D142" s="310" t="s">
        <v>41</v>
      </c>
      <c r="E142" s="356">
        <f>'8 - Dren. Sup. - Poços e Bocas'!I69</f>
        <v>0</v>
      </c>
      <c r="F142" s="363">
        <v>252.18</v>
      </c>
      <c r="G142" s="313">
        <f t="shared" si="26"/>
        <v>330.67384642816796</v>
      </c>
      <c r="H142" s="312">
        <f t="shared" si="28"/>
        <v>0</v>
      </c>
    </row>
    <row r="143" spans="1:8" ht="45" x14ac:dyDescent="0.25">
      <c r="A143" s="351" t="s">
        <v>320</v>
      </c>
      <c r="B143" s="351">
        <v>92226</v>
      </c>
      <c r="C143" s="357" t="s">
        <v>190</v>
      </c>
      <c r="D143" s="310" t="s">
        <v>41</v>
      </c>
      <c r="E143" s="356">
        <f>'8 - Dren. Sup. - Poços e Bocas'!I70</f>
        <v>0</v>
      </c>
      <c r="F143" s="363">
        <v>283.07</v>
      </c>
      <c r="G143" s="313">
        <f t="shared" si="26"/>
        <v>371.17870453018281</v>
      </c>
      <c r="H143" s="312">
        <f t="shared" si="28"/>
        <v>0</v>
      </c>
    </row>
    <row r="144" spans="1:8" x14ac:dyDescent="0.25">
      <c r="A144" s="346" t="s">
        <v>321</v>
      </c>
      <c r="B144" s="346"/>
      <c r="C144" s="366" t="s">
        <v>191</v>
      </c>
      <c r="D144" s="366"/>
      <c r="E144" s="366"/>
      <c r="F144" s="349" t="s">
        <v>49</v>
      </c>
      <c r="G144" s="350">
        <f>H144*(1-$G$5)</f>
        <v>0</v>
      </c>
      <c r="H144" s="350">
        <f>SUM(H145:H150)</f>
        <v>0</v>
      </c>
    </row>
    <row r="145" spans="1:8" ht="45" x14ac:dyDescent="0.25">
      <c r="A145" s="351" t="s">
        <v>322</v>
      </c>
      <c r="B145" s="351" t="s">
        <v>193</v>
      </c>
      <c r="C145" s="357" t="s">
        <v>192</v>
      </c>
      <c r="D145" s="310" t="s">
        <v>194</v>
      </c>
      <c r="E145" s="356">
        <f>'8 - Dren. Sup. - Poços e Bocas'!I72</f>
        <v>0</v>
      </c>
      <c r="F145" s="363">
        <v>1679.16</v>
      </c>
      <c r="G145" s="313">
        <f t="shared" ref="G145:G150" si="29">F145*(1+$G$5)</f>
        <v>2201.8173366972896</v>
      </c>
      <c r="H145" s="312">
        <f t="shared" ref="H145" si="30">G145*E145</f>
        <v>0</v>
      </c>
    </row>
    <row r="146" spans="1:8" ht="45" x14ac:dyDescent="0.25">
      <c r="A146" s="351" t="s">
        <v>323</v>
      </c>
      <c r="B146" s="351" t="s">
        <v>196</v>
      </c>
      <c r="C146" s="355" t="s">
        <v>195</v>
      </c>
      <c r="D146" s="310" t="s">
        <v>194</v>
      </c>
      <c r="E146" s="356">
        <f>'8 - Dren. Sup. - Poços e Bocas'!I73</f>
        <v>0</v>
      </c>
      <c r="F146" s="363">
        <v>1934.45</v>
      </c>
      <c r="G146" s="313">
        <f t="shared" si="29"/>
        <v>2536.5692054206102</v>
      </c>
      <c r="H146" s="312">
        <f t="shared" ref="H146:H150" si="31">G146*E146</f>
        <v>0</v>
      </c>
    </row>
    <row r="147" spans="1:8" ht="45" x14ac:dyDescent="0.25">
      <c r="A147" s="351" t="s">
        <v>324</v>
      </c>
      <c r="B147" s="351" t="s">
        <v>198</v>
      </c>
      <c r="C147" s="355" t="s">
        <v>197</v>
      </c>
      <c r="D147" s="310" t="s">
        <v>194</v>
      </c>
      <c r="E147" s="356">
        <f>'8 - Dren. Sup. - Poços e Bocas'!I74</f>
        <v>0</v>
      </c>
      <c r="F147" s="363">
        <v>2092.9499999999998</v>
      </c>
      <c r="G147" s="313">
        <f t="shared" si="29"/>
        <v>2744.4041037426996</v>
      </c>
      <c r="H147" s="312">
        <f t="shared" si="31"/>
        <v>0</v>
      </c>
    </row>
    <row r="148" spans="1:8" ht="45" x14ac:dyDescent="0.25">
      <c r="A148" s="351" t="s">
        <v>325</v>
      </c>
      <c r="B148" s="351" t="s">
        <v>200</v>
      </c>
      <c r="C148" s="355" t="s">
        <v>199</v>
      </c>
      <c r="D148" s="310" t="s">
        <v>194</v>
      </c>
      <c r="E148" s="356">
        <f>'8 - Dren. Sup. - Poços e Bocas'!I75</f>
        <v>0</v>
      </c>
      <c r="F148" s="363">
        <v>2384.61</v>
      </c>
      <c r="G148" s="313">
        <f t="shared" si="29"/>
        <v>3126.8465418791084</v>
      </c>
      <c r="H148" s="312">
        <f t="shared" si="31"/>
        <v>0</v>
      </c>
    </row>
    <row r="149" spans="1:8" ht="47.1" customHeight="1" x14ac:dyDescent="0.25">
      <c r="A149" s="351" t="s">
        <v>326</v>
      </c>
      <c r="B149" s="351" t="s">
        <v>202</v>
      </c>
      <c r="C149" s="355" t="s">
        <v>201</v>
      </c>
      <c r="D149" s="310" t="s">
        <v>194</v>
      </c>
      <c r="E149" s="356">
        <f>'8 - Dren. Sup. - Poços e Bocas'!I76</f>
        <v>0</v>
      </c>
      <c r="F149" s="363">
        <v>2767.74</v>
      </c>
      <c r="G149" s="313">
        <f t="shared" si="29"/>
        <v>3629.2300408957785</v>
      </c>
      <c r="H149" s="312">
        <f t="shared" si="31"/>
        <v>0</v>
      </c>
    </row>
    <row r="150" spans="1:8" ht="45" x14ac:dyDescent="0.25">
      <c r="A150" s="351" t="s">
        <v>327</v>
      </c>
      <c r="B150" s="351" t="s">
        <v>203</v>
      </c>
      <c r="C150" s="355" t="s">
        <v>204</v>
      </c>
      <c r="D150" s="310" t="s">
        <v>194</v>
      </c>
      <c r="E150" s="356">
        <f>'8 - Dren. Sup. - Poços e Bocas'!I77</f>
        <v>0</v>
      </c>
      <c r="F150" s="363">
        <v>3081.7</v>
      </c>
      <c r="G150" s="313">
        <f t="shared" si="29"/>
        <v>4040.9136035279762</v>
      </c>
      <c r="H150" s="312">
        <f t="shared" si="31"/>
        <v>0</v>
      </c>
    </row>
    <row r="151" spans="1:8" x14ac:dyDescent="0.25">
      <c r="A151" s="346" t="s">
        <v>341</v>
      </c>
      <c r="B151" s="346"/>
      <c r="C151" s="365" t="s">
        <v>221</v>
      </c>
      <c r="D151" s="365"/>
      <c r="E151" s="366"/>
      <c r="F151" s="349" t="s">
        <v>49</v>
      </c>
      <c r="G151" s="350">
        <f>H151*(1-$G$5)</f>
        <v>0</v>
      </c>
      <c r="H151" s="350">
        <f>SUM(H152:H162)</f>
        <v>0</v>
      </c>
    </row>
    <row r="152" spans="1:8" ht="60" x14ac:dyDescent="0.25">
      <c r="A152" s="351" t="s">
        <v>328</v>
      </c>
      <c r="B152" s="351">
        <v>93374</v>
      </c>
      <c r="C152" s="357" t="s">
        <v>223</v>
      </c>
      <c r="D152" s="310" t="s">
        <v>29</v>
      </c>
      <c r="E152" s="331">
        <f>'8 - Dren. Sup. - Poços e Bocas'!I79</f>
        <v>0</v>
      </c>
      <c r="F152" s="363">
        <v>14.76</v>
      </c>
      <c r="G152" s="313">
        <f t="shared" ref="G152:G161" si="32">F152*(1+$G$5)</f>
        <v>19.354215137123319</v>
      </c>
      <c r="H152" s="312">
        <f t="shared" ref="H152:H161" si="33">G152*E152</f>
        <v>0</v>
      </c>
    </row>
    <row r="153" spans="1:8" ht="60" x14ac:dyDescent="0.25">
      <c r="A153" s="351" t="s">
        <v>329</v>
      </c>
      <c r="B153" s="351">
        <v>93375</v>
      </c>
      <c r="C153" s="357" t="s">
        <v>224</v>
      </c>
      <c r="D153" s="310" t="s">
        <v>29</v>
      </c>
      <c r="E153" s="331">
        <f>'8 - Dren. Sup. - Poços e Bocas'!I80</f>
        <v>0</v>
      </c>
      <c r="F153" s="363">
        <v>11.34</v>
      </c>
      <c r="G153" s="313">
        <f t="shared" si="32"/>
        <v>14.869701873643526</v>
      </c>
      <c r="H153" s="312">
        <f t="shared" si="33"/>
        <v>0</v>
      </c>
    </row>
    <row r="154" spans="1:8" ht="60" x14ac:dyDescent="0.25">
      <c r="A154" s="351" t="s">
        <v>330</v>
      </c>
      <c r="B154" s="351">
        <v>93376</v>
      </c>
      <c r="C154" s="357" t="s">
        <v>225</v>
      </c>
      <c r="D154" s="310" t="s">
        <v>29</v>
      </c>
      <c r="E154" s="331">
        <f>'8 - Dren. Sup. - Poços e Bocas'!I81</f>
        <v>0</v>
      </c>
      <c r="F154" s="363">
        <v>9.2799999999999994</v>
      </c>
      <c r="G154" s="313">
        <f t="shared" si="32"/>
        <v>12.168503826050433</v>
      </c>
      <c r="H154" s="312">
        <f t="shared" si="33"/>
        <v>0</v>
      </c>
    </row>
    <row r="155" spans="1:8" ht="60" x14ac:dyDescent="0.25">
      <c r="A155" s="351" t="s">
        <v>331</v>
      </c>
      <c r="B155" s="351">
        <v>93377</v>
      </c>
      <c r="C155" s="357" t="s">
        <v>226</v>
      </c>
      <c r="D155" s="310" t="s">
        <v>29</v>
      </c>
      <c r="E155" s="331">
        <f>'8 - Dren. Sup. - Poços e Bocas'!I82</f>
        <v>0</v>
      </c>
      <c r="F155" s="363">
        <v>6.24</v>
      </c>
      <c r="G155" s="313">
        <f t="shared" si="32"/>
        <v>8.1822698140683965</v>
      </c>
      <c r="H155" s="312">
        <f t="shared" si="33"/>
        <v>0</v>
      </c>
    </row>
    <row r="156" spans="1:8" ht="60" x14ac:dyDescent="0.25">
      <c r="A156" s="351" t="s">
        <v>332</v>
      </c>
      <c r="B156" s="351">
        <v>93378</v>
      </c>
      <c r="C156" s="357" t="s">
        <v>227</v>
      </c>
      <c r="D156" s="310" t="s">
        <v>29</v>
      </c>
      <c r="E156" s="331">
        <f>'8 - Dren. Sup. - Poços e Bocas'!I83</f>
        <v>0</v>
      </c>
      <c r="F156" s="363">
        <v>13.76</v>
      </c>
      <c r="G156" s="313">
        <f t="shared" si="32"/>
        <v>18.042953948971334</v>
      </c>
      <c r="H156" s="312">
        <f t="shared" si="33"/>
        <v>0</v>
      </c>
    </row>
    <row r="157" spans="1:8" ht="60" x14ac:dyDescent="0.25">
      <c r="A157" s="351" t="s">
        <v>333</v>
      </c>
      <c r="B157" s="351">
        <v>93379</v>
      </c>
      <c r="C157" s="357" t="s">
        <v>228</v>
      </c>
      <c r="D157" s="310" t="s">
        <v>29</v>
      </c>
      <c r="E157" s="331">
        <f>'8 - Dren. Sup. - Poços e Bocas'!I84</f>
        <v>0</v>
      </c>
      <c r="F157" s="363">
        <v>10.57</v>
      </c>
      <c r="G157" s="313">
        <f t="shared" si="32"/>
        <v>13.860030758766497</v>
      </c>
      <c r="H157" s="312">
        <f t="shared" si="33"/>
        <v>0</v>
      </c>
    </row>
    <row r="158" spans="1:8" ht="60" x14ac:dyDescent="0.25">
      <c r="A158" s="351" t="s">
        <v>334</v>
      </c>
      <c r="B158" s="351">
        <v>93380</v>
      </c>
      <c r="C158" s="357" t="s">
        <v>229</v>
      </c>
      <c r="D158" s="310" t="s">
        <v>29</v>
      </c>
      <c r="E158" s="331">
        <f>'8 - Dren. Sup. - Poços e Bocas'!I85</f>
        <v>0</v>
      </c>
      <c r="F158" s="363">
        <v>8.69</v>
      </c>
      <c r="G158" s="313">
        <f t="shared" si="32"/>
        <v>11.394859725040762</v>
      </c>
      <c r="H158" s="312">
        <f t="shared" si="33"/>
        <v>0</v>
      </c>
    </row>
    <row r="159" spans="1:8" ht="60" x14ac:dyDescent="0.25">
      <c r="A159" s="351" t="s">
        <v>335</v>
      </c>
      <c r="B159" s="351">
        <v>93381</v>
      </c>
      <c r="C159" s="357" t="s">
        <v>230</v>
      </c>
      <c r="D159" s="310" t="s">
        <v>29</v>
      </c>
      <c r="E159" s="331">
        <f>'8 - Dren. Sup. - Poços e Bocas'!I86</f>
        <v>0</v>
      </c>
      <c r="F159" s="363">
        <v>5.83</v>
      </c>
      <c r="G159" s="313">
        <f t="shared" si="32"/>
        <v>7.6446527269260809</v>
      </c>
      <c r="H159" s="312">
        <f t="shared" si="33"/>
        <v>0</v>
      </c>
    </row>
    <row r="160" spans="1:8" ht="30" x14ac:dyDescent="0.25">
      <c r="A160" s="351" t="s">
        <v>336</v>
      </c>
      <c r="B160" s="351">
        <v>93382</v>
      </c>
      <c r="C160" s="357" t="s">
        <v>231</v>
      </c>
      <c r="D160" s="310" t="s">
        <v>29</v>
      </c>
      <c r="E160" s="331">
        <f>'8 - Dren. Sup. - Poços e Bocas'!I87</f>
        <v>0</v>
      </c>
      <c r="F160" s="363">
        <v>17.13</v>
      </c>
      <c r="G160" s="313">
        <f t="shared" si="32"/>
        <v>22.461904153043527</v>
      </c>
      <c r="H160" s="312">
        <f t="shared" si="33"/>
        <v>0</v>
      </c>
    </row>
    <row r="161" spans="1:8" ht="15.75" x14ac:dyDescent="0.25">
      <c r="A161" s="351" t="s">
        <v>337</v>
      </c>
      <c r="B161" s="351">
        <v>96995</v>
      </c>
      <c r="C161" s="357" t="s">
        <v>232</v>
      </c>
      <c r="D161" s="310" t="s">
        <v>29</v>
      </c>
      <c r="E161" s="331">
        <f>'8 - Dren. Sup. - Poços e Bocas'!I88</f>
        <v>0</v>
      </c>
      <c r="F161" s="363">
        <v>26.48</v>
      </c>
      <c r="G161" s="313">
        <f t="shared" si="32"/>
        <v>34.722196262264603</v>
      </c>
      <c r="H161" s="312">
        <f t="shared" si="33"/>
        <v>0</v>
      </c>
    </row>
    <row r="162" spans="1:8" ht="15.75" x14ac:dyDescent="0.25">
      <c r="A162" s="351" t="s">
        <v>338</v>
      </c>
      <c r="B162" s="351">
        <v>83346</v>
      </c>
      <c r="C162" s="355" t="s">
        <v>222</v>
      </c>
      <c r="D162" s="310" t="s">
        <v>29</v>
      </c>
      <c r="E162" s="331">
        <f>'8 - Dren. Sup. - Poços e Bocas'!I89</f>
        <v>0</v>
      </c>
      <c r="F162" s="368">
        <v>0.85</v>
      </c>
      <c r="G162" s="313">
        <f>F162*(1+$G$5)</f>
        <v>1.1145720099291885</v>
      </c>
      <c r="H162" s="312">
        <f t="shared" ref="H162" si="34">G162*E162</f>
        <v>0</v>
      </c>
    </row>
    <row r="163" spans="1:8" x14ac:dyDescent="0.25">
      <c r="A163" s="346" t="s">
        <v>339</v>
      </c>
      <c r="B163" s="346"/>
      <c r="C163" s="366" t="s">
        <v>206</v>
      </c>
      <c r="D163" s="366"/>
      <c r="E163" s="366"/>
      <c r="F163" s="349" t="s">
        <v>49</v>
      </c>
      <c r="G163" s="350">
        <f>H163*(1-$G$5)</f>
        <v>0</v>
      </c>
      <c r="H163" s="350">
        <f>SUM(H164:H164)</f>
        <v>0</v>
      </c>
    </row>
    <row r="164" spans="1:8" ht="45" x14ac:dyDescent="0.25">
      <c r="A164" s="351" t="s">
        <v>340</v>
      </c>
      <c r="B164" s="369">
        <v>83659</v>
      </c>
      <c r="C164" s="353" t="s">
        <v>599</v>
      </c>
      <c r="D164" s="362" t="s">
        <v>194</v>
      </c>
      <c r="E164" s="356">
        <f>'8 - Dren. Sup. - Poços e Bocas'!I91</f>
        <v>0</v>
      </c>
      <c r="F164" s="363">
        <v>563.15</v>
      </c>
      <c r="G164" s="313">
        <f t="shared" ref="G164" si="35">F164*(1+$G$5)</f>
        <v>738.43673810779114</v>
      </c>
      <c r="H164" s="312">
        <f t="shared" ref="H164" si="36">G164*E164</f>
        <v>0</v>
      </c>
    </row>
    <row r="165" spans="1:8" x14ac:dyDescent="0.25">
      <c r="A165" s="303">
        <v>9</v>
      </c>
      <c r="B165" s="328"/>
      <c r="C165" s="306" t="s">
        <v>63</v>
      </c>
      <c r="D165" s="306"/>
      <c r="E165" s="306"/>
      <c r="F165" s="306" t="s">
        <v>50</v>
      </c>
      <c r="G165" s="307">
        <f>H165*(1-$G$5)</f>
        <v>0</v>
      </c>
      <c r="H165" s="307">
        <f>SUM(H166:H170)</f>
        <v>0</v>
      </c>
    </row>
    <row r="166" spans="1:8" ht="30" x14ac:dyDescent="0.25">
      <c r="A166" s="315" t="s">
        <v>70</v>
      </c>
      <c r="B166" s="308">
        <v>72888</v>
      </c>
      <c r="C166" s="335" t="s">
        <v>354</v>
      </c>
      <c r="D166" s="310" t="s">
        <v>29</v>
      </c>
      <c r="E166" s="331">
        <f>'9 - Calçadas'!I8</f>
        <v>0</v>
      </c>
      <c r="F166" s="368">
        <v>1.1200000000000001</v>
      </c>
      <c r="G166" s="313">
        <f t="shared" ref="G166:G170" si="37">F166*(1+$G$5)</f>
        <v>1.4686125307302249</v>
      </c>
      <c r="H166" s="312">
        <f t="shared" ref="H166" si="38">G166*E166</f>
        <v>0</v>
      </c>
    </row>
    <row r="167" spans="1:8" ht="30" x14ac:dyDescent="0.25">
      <c r="A167" s="315" t="s">
        <v>71</v>
      </c>
      <c r="B167" s="308">
        <v>94319</v>
      </c>
      <c r="C167" s="335" t="s">
        <v>233</v>
      </c>
      <c r="D167" s="310" t="s">
        <v>29</v>
      </c>
      <c r="E167" s="331">
        <f>'9 - Calçadas'!I9</f>
        <v>0</v>
      </c>
      <c r="F167" s="313">
        <v>28.55</v>
      </c>
      <c r="G167" s="313">
        <f t="shared" si="37"/>
        <v>37.436506921739216</v>
      </c>
      <c r="H167" s="312">
        <f t="shared" ref="H167:H170" si="39">G167*E167</f>
        <v>0</v>
      </c>
    </row>
    <row r="168" spans="1:8" ht="30" x14ac:dyDescent="0.25">
      <c r="A168" s="315" t="s">
        <v>342</v>
      </c>
      <c r="B168" s="308" t="s">
        <v>64</v>
      </c>
      <c r="C168" s="335" t="s">
        <v>66</v>
      </c>
      <c r="D168" s="310" t="s">
        <v>29</v>
      </c>
      <c r="E168" s="331">
        <f>'9 - Calçadas'!I10</f>
        <v>0</v>
      </c>
      <c r="F168" s="313">
        <v>3.3</v>
      </c>
      <c r="G168" s="313">
        <f t="shared" si="37"/>
        <v>4.3271619209015553</v>
      </c>
      <c r="H168" s="312">
        <f t="shared" si="39"/>
        <v>0</v>
      </c>
    </row>
    <row r="169" spans="1:8" ht="45" x14ac:dyDescent="0.25">
      <c r="A169" s="315" t="s">
        <v>343</v>
      </c>
      <c r="B169" s="308">
        <v>94990</v>
      </c>
      <c r="C169" s="335" t="s">
        <v>68</v>
      </c>
      <c r="D169" s="310" t="s">
        <v>29</v>
      </c>
      <c r="E169" s="331">
        <f>'9 - Calçadas'!I11</f>
        <v>0</v>
      </c>
      <c r="F169" s="313">
        <v>504.18</v>
      </c>
      <c r="G169" s="313">
        <f t="shared" si="37"/>
        <v>661.11166584246848</v>
      </c>
      <c r="H169" s="312">
        <f t="shared" si="39"/>
        <v>0</v>
      </c>
    </row>
    <row r="170" spans="1:8" ht="45" x14ac:dyDescent="0.25">
      <c r="A170" s="315" t="s">
        <v>344</v>
      </c>
      <c r="B170" s="308">
        <v>94991</v>
      </c>
      <c r="C170" s="335" t="s">
        <v>117</v>
      </c>
      <c r="D170" s="310" t="s">
        <v>29</v>
      </c>
      <c r="E170" s="331">
        <f>'9 - Calçadas'!I12</f>
        <v>0</v>
      </c>
      <c r="F170" s="313">
        <v>345.92</v>
      </c>
      <c r="G170" s="313">
        <f t="shared" si="37"/>
        <v>453.59147020553519</v>
      </c>
      <c r="H170" s="312">
        <f t="shared" si="39"/>
        <v>0</v>
      </c>
    </row>
    <row r="171" spans="1:8" x14ac:dyDescent="0.25">
      <c r="A171" s="303">
        <v>10</v>
      </c>
      <c r="B171" s="328"/>
      <c r="C171" s="306" t="s">
        <v>42</v>
      </c>
      <c r="D171" s="306"/>
      <c r="E171" s="306"/>
      <c r="F171" s="306" t="s">
        <v>50</v>
      </c>
      <c r="G171" s="307">
        <f>H171*(1-$G$5)</f>
        <v>0</v>
      </c>
      <c r="H171" s="307">
        <f>SUM(H172:H173)</f>
        <v>0</v>
      </c>
    </row>
    <row r="172" spans="1:8" ht="30" x14ac:dyDescent="0.25">
      <c r="A172" s="315" t="s">
        <v>127</v>
      </c>
      <c r="B172" s="308">
        <v>72947</v>
      </c>
      <c r="C172" s="335" t="s">
        <v>67</v>
      </c>
      <c r="D172" s="310" t="s">
        <v>19</v>
      </c>
      <c r="E172" s="331">
        <f>'10 - Sinalização'!G8</f>
        <v>0</v>
      </c>
      <c r="F172" s="368">
        <v>36.03</v>
      </c>
      <c r="G172" s="313">
        <f t="shared" ref="G172:G173" si="40">F172*(1+$G$5)</f>
        <v>47.244740609116072</v>
      </c>
      <c r="H172" s="312">
        <f t="shared" ref="H172" si="41">G172*E172</f>
        <v>0</v>
      </c>
    </row>
    <row r="173" spans="1:8" ht="30" x14ac:dyDescent="0.25">
      <c r="A173" s="315" t="s">
        <v>128</v>
      </c>
      <c r="B173" s="308" t="s">
        <v>450</v>
      </c>
      <c r="C173" s="335" t="s">
        <v>606</v>
      </c>
      <c r="D173" s="310" t="s">
        <v>19</v>
      </c>
      <c r="E173" s="331">
        <f>'10 - Sinalização'!G9</f>
        <v>0</v>
      </c>
      <c r="F173" s="370">
        <f>Composições!I15</f>
        <v>73.935999999999993</v>
      </c>
      <c r="G173" s="313">
        <f t="shared" si="40"/>
        <v>96.949407207205255</v>
      </c>
      <c r="H173" s="312">
        <f t="shared" ref="H173" si="42">G173*E173</f>
        <v>0</v>
      </c>
    </row>
    <row r="174" spans="1:8" x14ac:dyDescent="0.25">
      <c r="A174" s="303">
        <v>11</v>
      </c>
      <c r="B174" s="328"/>
      <c r="C174" s="306" t="s">
        <v>43</v>
      </c>
      <c r="D174" s="306"/>
      <c r="E174" s="306"/>
      <c r="F174" s="306" t="s">
        <v>50</v>
      </c>
      <c r="G174" s="307">
        <f>H174*(1-$G$5)</f>
        <v>0</v>
      </c>
      <c r="H174" s="307">
        <f>SUM(H175:H180)</f>
        <v>0</v>
      </c>
    </row>
    <row r="175" spans="1:8" ht="15.75" x14ac:dyDescent="0.25">
      <c r="A175" s="315" t="s">
        <v>345</v>
      </c>
      <c r="B175" s="308" t="s">
        <v>69</v>
      </c>
      <c r="C175" s="309" t="s">
        <v>248</v>
      </c>
      <c r="D175" s="362" t="s">
        <v>194</v>
      </c>
      <c r="E175" s="331">
        <f>'11 - Identificação'!I8</f>
        <v>0</v>
      </c>
      <c r="F175" s="368">
        <v>86.8</v>
      </c>
      <c r="G175" s="313">
        <f t="shared" ref="G175:G180" si="43">F175*(1+$G$5)</f>
        <v>113.81747113159241</v>
      </c>
      <c r="H175" s="312">
        <f t="shared" ref="H175" si="44">G175*E175</f>
        <v>0</v>
      </c>
    </row>
    <row r="176" spans="1:8" ht="34.5" customHeight="1" x14ac:dyDescent="0.25">
      <c r="A176" s="315" t="s">
        <v>346</v>
      </c>
      <c r="B176" s="371" t="s">
        <v>241</v>
      </c>
      <c r="C176" s="335" t="s">
        <v>247</v>
      </c>
      <c r="D176" s="310" t="s">
        <v>19</v>
      </c>
      <c r="E176" s="331">
        <f>'11 - Identificação'!I9</f>
        <v>0</v>
      </c>
      <c r="F176" s="372">
        <f>'SICRO Desoneração'!L39</f>
        <v>260.43516889107332</v>
      </c>
      <c r="G176" s="313">
        <f t="shared" si="43"/>
        <v>341.49852899667206</v>
      </c>
      <c r="H176" s="312">
        <f t="shared" ref="H176:H180" si="45">G176*E176</f>
        <v>0</v>
      </c>
    </row>
    <row r="177" spans="1:8" ht="34.5" customHeight="1" x14ac:dyDescent="0.25">
      <c r="A177" s="315" t="s">
        <v>347</v>
      </c>
      <c r="B177" s="371" t="s">
        <v>243</v>
      </c>
      <c r="C177" s="335" t="s">
        <v>246</v>
      </c>
      <c r="D177" s="362" t="s">
        <v>194</v>
      </c>
      <c r="E177" s="331">
        <f>'11 - Identificação'!I10</f>
        <v>0</v>
      </c>
      <c r="F177" s="370">
        <f>'SICRO Desoneração'!L103</f>
        <v>255.51717281167802</v>
      </c>
      <c r="G177" s="313">
        <f t="shared" si="43"/>
        <v>335.0497516142774</v>
      </c>
      <c r="H177" s="312">
        <f t="shared" si="45"/>
        <v>0</v>
      </c>
    </row>
    <row r="178" spans="1:8" ht="34.5" customHeight="1" x14ac:dyDescent="0.25">
      <c r="A178" s="315" t="s">
        <v>348</v>
      </c>
      <c r="B178" s="371" t="s">
        <v>244</v>
      </c>
      <c r="C178" s="335" t="s">
        <v>245</v>
      </c>
      <c r="D178" s="362" t="s">
        <v>194</v>
      </c>
      <c r="E178" s="331">
        <f>'11 - Identificação'!I11</f>
        <v>0</v>
      </c>
      <c r="F178" s="370">
        <f>'SICRO Desoneração'!L131</f>
        <v>365.20179754567869</v>
      </c>
      <c r="G178" s="313">
        <f t="shared" si="43"/>
        <v>478.87494296498784</v>
      </c>
      <c r="H178" s="312">
        <f t="shared" si="45"/>
        <v>0</v>
      </c>
    </row>
    <row r="179" spans="1:8" ht="30" x14ac:dyDescent="0.25">
      <c r="A179" s="315" t="s">
        <v>349</v>
      </c>
      <c r="B179" s="371" t="s">
        <v>249</v>
      </c>
      <c r="C179" s="335" t="s">
        <v>250</v>
      </c>
      <c r="D179" s="362" t="s">
        <v>194</v>
      </c>
      <c r="E179" s="331">
        <f>'11 - Identificação'!I12</f>
        <v>0</v>
      </c>
      <c r="F179" s="370">
        <f>'SICRO Desoneração'!L233</f>
        <v>263.63754236120354</v>
      </c>
      <c r="G179" s="313">
        <f t="shared" si="43"/>
        <v>345.69767703802142</v>
      </c>
      <c r="H179" s="312">
        <f t="shared" si="45"/>
        <v>0</v>
      </c>
    </row>
    <row r="180" spans="1:8" ht="30" x14ac:dyDescent="0.25">
      <c r="A180" s="315" t="s">
        <v>350</v>
      </c>
      <c r="B180" s="371" t="s">
        <v>252</v>
      </c>
      <c r="C180" s="335" t="s">
        <v>251</v>
      </c>
      <c r="D180" s="362" t="s">
        <v>194</v>
      </c>
      <c r="E180" s="331">
        <f>'11 - Identificação'!I13</f>
        <v>0</v>
      </c>
      <c r="F180" s="370">
        <f>'SICRO Desoneração'!L261</f>
        <v>272.60803143981769</v>
      </c>
      <c r="G180" s="313">
        <f t="shared" si="43"/>
        <v>357.46033120554944</v>
      </c>
      <c r="H180" s="312">
        <f t="shared" si="45"/>
        <v>0</v>
      </c>
    </row>
    <row r="181" spans="1:8" ht="15" customHeight="1" x14ac:dyDescent="0.25">
      <c r="A181" s="383" t="s">
        <v>458</v>
      </c>
      <c r="B181" s="383"/>
      <c r="C181" s="383"/>
      <c r="D181" s="383"/>
      <c r="E181" s="383"/>
      <c r="F181" s="383"/>
      <c r="G181" s="373" t="e">
        <f>ROUND(G174+G171+G165+G80+G62+G47+G36+G26+G12+G10+G8,2)</f>
        <v>#DIV/0!</v>
      </c>
      <c r="H181" s="373" t="e">
        <f>ROUND(H174+H171+H165+H80+H62+H47+H36+H26+H12+H10+H8,2)</f>
        <v>#DIV/0!</v>
      </c>
    </row>
    <row r="182" spans="1:8" ht="51" customHeight="1" x14ac:dyDescent="0.25">
      <c r="A182" s="382" t="s">
        <v>572</v>
      </c>
      <c r="B182" s="382"/>
      <c r="C182" s="382"/>
      <c r="D182" s="382"/>
      <c r="E182" s="382"/>
      <c r="F182" s="382"/>
      <c r="G182" s="382"/>
      <c r="H182" s="382"/>
    </row>
    <row r="183" spans="1:8" ht="90" customHeight="1" x14ac:dyDescent="0.25">
      <c r="A183" s="375" t="s">
        <v>598</v>
      </c>
      <c r="B183" s="375"/>
      <c r="C183" s="375"/>
      <c r="D183" s="375"/>
      <c r="E183" s="375"/>
      <c r="F183" s="375"/>
      <c r="G183" s="375"/>
      <c r="H183" s="375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 E13:E25 F11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Normal="100" zoomScaleSheetLayoutView="100" workbookViewId="0">
      <selection activeCell="A13" activeCellId="6" sqref="A2:I2 A3:A6 H3:I6 A7:I7 A8:E12 I8:I12 A13:I13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  <c r="I1" s="386"/>
    </row>
    <row r="2" spans="1:9" ht="18.75" x14ac:dyDescent="0.25">
      <c r="A2" s="389" t="s">
        <v>483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22" t="s">
        <v>11</v>
      </c>
      <c r="B3" s="403"/>
      <c r="C3" s="403"/>
      <c r="D3" s="403"/>
      <c r="E3" s="403"/>
      <c r="F3" s="403"/>
      <c r="G3" s="403"/>
      <c r="H3" s="392" t="s">
        <v>15</v>
      </c>
      <c r="I3" s="23" t="str">
        <f>'PLANILHA ORÇAMENTÁRIA'!H3</f>
        <v>SINAPI</v>
      </c>
    </row>
    <row r="4" spans="1:9" x14ac:dyDescent="0.25">
      <c r="A4" s="22" t="s">
        <v>12</v>
      </c>
      <c r="B4" s="403"/>
      <c r="C4" s="403"/>
      <c r="D4" s="403"/>
      <c r="E4" s="403"/>
      <c r="F4" s="403"/>
      <c r="G4" s="403"/>
      <c r="H4" s="392"/>
      <c r="I4" s="24" t="str">
        <f>'PLANILHA ORÇAMENTÁRIA'!H4</f>
        <v>AP - Janeiro/2018</v>
      </c>
    </row>
    <row r="5" spans="1:9" x14ac:dyDescent="0.25">
      <c r="A5" s="22" t="s">
        <v>13</v>
      </c>
      <c r="B5" s="403"/>
      <c r="C5" s="403"/>
      <c r="D5" s="403"/>
      <c r="E5" s="403"/>
      <c r="F5" s="403"/>
      <c r="G5" s="403"/>
      <c r="H5" s="397">
        <f>BDI!I23</f>
        <v>0.31126118815198645</v>
      </c>
      <c r="I5" s="23" t="str">
        <f>'PLANILHA ORÇAMENTÁRIA'!H5</f>
        <v>SICRO</v>
      </c>
    </row>
    <row r="6" spans="1:9" x14ac:dyDescent="0.25">
      <c r="A6" s="22" t="s">
        <v>14</v>
      </c>
      <c r="B6" s="403"/>
      <c r="C6" s="403"/>
      <c r="D6" s="403"/>
      <c r="E6" s="403"/>
      <c r="F6" s="403"/>
      <c r="G6" s="403"/>
      <c r="H6" s="397"/>
      <c r="I6" s="24" t="str">
        <f>'PLANILHA ORÇAMENTÁRIA'!H6</f>
        <v>AP - Setembro/2017</v>
      </c>
    </row>
    <row r="7" spans="1:9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794</v>
      </c>
      <c r="I7" s="25" t="s">
        <v>462</v>
      </c>
    </row>
    <row r="8" spans="1:9" ht="45" x14ac:dyDescent="0.25">
      <c r="A8" s="57" t="s">
        <v>70</v>
      </c>
      <c r="B8" s="103">
        <v>72888</v>
      </c>
      <c r="C8" s="104" t="s">
        <v>354</v>
      </c>
      <c r="D8" s="79" t="s">
        <v>29</v>
      </c>
      <c r="E8" s="95"/>
      <c r="F8" s="73"/>
      <c r="G8" s="73"/>
      <c r="H8" s="73"/>
      <c r="I8" s="97">
        <f>F8*G8*H8</f>
        <v>0</v>
      </c>
    </row>
    <row r="9" spans="1:9" ht="45" x14ac:dyDescent="0.25">
      <c r="A9" s="57" t="s">
        <v>71</v>
      </c>
      <c r="B9" s="103">
        <v>94319</v>
      </c>
      <c r="C9" s="104" t="s">
        <v>233</v>
      </c>
      <c r="D9" s="79" t="s">
        <v>29</v>
      </c>
      <c r="E9" s="95"/>
      <c r="F9" s="73"/>
      <c r="G9" s="73"/>
      <c r="H9" s="73"/>
      <c r="I9" s="97">
        <f t="shared" ref="I9:I12" si="0">F9*G9*H9</f>
        <v>0</v>
      </c>
    </row>
    <row r="10" spans="1:9" ht="30" x14ac:dyDescent="0.25">
      <c r="A10" s="57" t="s">
        <v>342</v>
      </c>
      <c r="B10" s="103" t="s">
        <v>64</v>
      </c>
      <c r="C10" s="104" t="s">
        <v>66</v>
      </c>
      <c r="D10" s="79" t="s">
        <v>29</v>
      </c>
      <c r="E10" s="95"/>
      <c r="F10" s="73"/>
      <c r="G10" s="73"/>
      <c r="H10" s="73"/>
      <c r="I10" s="97">
        <f t="shared" si="0"/>
        <v>0</v>
      </c>
    </row>
    <row r="11" spans="1:9" ht="60" x14ac:dyDescent="0.25">
      <c r="A11" s="57" t="s">
        <v>343</v>
      </c>
      <c r="B11" s="103">
        <v>94990</v>
      </c>
      <c r="C11" s="104" t="s">
        <v>68</v>
      </c>
      <c r="D11" s="79" t="s">
        <v>29</v>
      </c>
      <c r="E11" s="95"/>
      <c r="F11" s="73"/>
      <c r="G11" s="73"/>
      <c r="H11" s="73"/>
      <c r="I11" s="97">
        <f t="shared" si="0"/>
        <v>0</v>
      </c>
    </row>
    <row r="12" spans="1:9" ht="60" x14ac:dyDescent="0.25">
      <c r="A12" s="57" t="s">
        <v>344</v>
      </c>
      <c r="B12" s="103">
        <v>94991</v>
      </c>
      <c r="C12" s="104" t="s">
        <v>117</v>
      </c>
      <c r="D12" s="79" t="s">
        <v>29</v>
      </c>
      <c r="E12" s="95"/>
      <c r="F12" s="73"/>
      <c r="G12" s="73"/>
      <c r="H12" s="73"/>
      <c r="I12" s="97">
        <f t="shared" si="0"/>
        <v>0</v>
      </c>
    </row>
    <row r="13" spans="1:9" ht="90" customHeight="1" x14ac:dyDescent="0.25">
      <c r="A13" s="384" t="s">
        <v>597</v>
      </c>
      <c r="B13" s="384"/>
      <c r="C13" s="384"/>
      <c r="D13" s="384"/>
      <c r="E13" s="384"/>
      <c r="F13" s="384"/>
      <c r="G13" s="384"/>
      <c r="H13" s="384"/>
      <c r="I13" s="384"/>
    </row>
    <row r="14" spans="1:9" ht="15" customHeight="1" x14ac:dyDescent="0.25">
      <c r="A14" s="110"/>
      <c r="B14" s="110"/>
      <c r="C14" s="110"/>
      <c r="D14" s="110"/>
      <c r="E14" s="110"/>
      <c r="F14" s="110"/>
      <c r="G14" s="110"/>
      <c r="H14" s="110"/>
      <c r="I14" s="110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"/>
  <sheetViews>
    <sheetView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90" customHeight="1" x14ac:dyDescent="0.25">
      <c r="A1" s="386" t="s">
        <v>806</v>
      </c>
      <c r="B1" s="386"/>
      <c r="C1" s="386"/>
      <c r="D1" s="386"/>
      <c r="E1" s="386"/>
      <c r="F1" s="386"/>
      <c r="G1" s="386"/>
    </row>
    <row r="2" spans="1:9" ht="18.75" x14ac:dyDescent="0.25">
      <c r="A2" s="389" t="s">
        <v>484</v>
      </c>
      <c r="B2" s="389"/>
      <c r="C2" s="389"/>
      <c r="D2" s="389"/>
      <c r="E2" s="389"/>
      <c r="F2" s="389"/>
      <c r="G2" s="389"/>
    </row>
    <row r="3" spans="1:9" x14ac:dyDescent="0.25">
      <c r="A3" s="22" t="s">
        <v>11</v>
      </c>
      <c r="B3" s="403"/>
      <c r="C3" s="403"/>
      <c r="D3" s="403"/>
      <c r="E3" s="403"/>
      <c r="F3" s="392" t="s">
        <v>15</v>
      </c>
      <c r="G3" s="23" t="str">
        <f>'PLANILHA ORÇAMENTÁRIA'!H3</f>
        <v>SINAPI</v>
      </c>
    </row>
    <row r="4" spans="1:9" x14ac:dyDescent="0.25">
      <c r="A4" s="22" t="s">
        <v>12</v>
      </c>
      <c r="B4" s="403"/>
      <c r="C4" s="403"/>
      <c r="D4" s="403"/>
      <c r="E4" s="403"/>
      <c r="F4" s="392"/>
      <c r="G4" s="24" t="str">
        <f>'PLANILHA ORÇAMENTÁRIA'!H4</f>
        <v>AP - Janeiro/2018</v>
      </c>
    </row>
    <row r="5" spans="1:9" x14ac:dyDescent="0.25">
      <c r="A5" s="22" t="s">
        <v>13</v>
      </c>
      <c r="B5" s="403"/>
      <c r="C5" s="403"/>
      <c r="D5" s="403"/>
      <c r="E5" s="403"/>
      <c r="F5" s="397">
        <f>BDI!I23</f>
        <v>0.31126118815198645</v>
      </c>
      <c r="G5" s="23" t="str">
        <f>'PLANILHA ORÇAMENTÁRIA'!H5</f>
        <v>SICRO</v>
      </c>
    </row>
    <row r="6" spans="1:9" x14ac:dyDescent="0.25">
      <c r="A6" s="22" t="s">
        <v>14</v>
      </c>
      <c r="B6" s="403"/>
      <c r="C6" s="403"/>
      <c r="D6" s="403"/>
      <c r="E6" s="403"/>
      <c r="F6" s="397"/>
      <c r="G6" s="24" t="str">
        <f>'PLANILHA ORÇAMENTÁRIA'!H6</f>
        <v>AP - Setembro/2017</v>
      </c>
    </row>
    <row r="7" spans="1:9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805</v>
      </c>
      <c r="G7" s="25" t="s">
        <v>462</v>
      </c>
    </row>
    <row r="8" spans="1:9" ht="30" x14ac:dyDescent="0.25">
      <c r="A8" s="57" t="s">
        <v>127</v>
      </c>
      <c r="B8" s="103">
        <v>72947</v>
      </c>
      <c r="C8" s="104" t="s">
        <v>571</v>
      </c>
      <c r="D8" s="79" t="s">
        <v>19</v>
      </c>
      <c r="E8" s="95"/>
      <c r="F8" s="73"/>
      <c r="G8" s="97">
        <f>F8</f>
        <v>0</v>
      </c>
    </row>
    <row r="9" spans="1:9" ht="60" x14ac:dyDescent="0.25">
      <c r="A9" s="57" t="s">
        <v>128</v>
      </c>
      <c r="B9" s="103" t="s">
        <v>450</v>
      </c>
      <c r="C9" s="104" t="s">
        <v>236</v>
      </c>
      <c r="D9" s="79" t="s">
        <v>19</v>
      </c>
      <c r="E9" s="95"/>
      <c r="F9" s="73"/>
      <c r="G9" s="97">
        <f>F9</f>
        <v>0</v>
      </c>
    </row>
    <row r="10" spans="1:9" ht="90" customHeight="1" x14ac:dyDescent="0.25">
      <c r="A10" s="384" t="s">
        <v>597</v>
      </c>
      <c r="B10" s="384"/>
      <c r="C10" s="384"/>
      <c r="D10" s="384"/>
      <c r="E10" s="384"/>
      <c r="F10" s="384"/>
      <c r="G10" s="384"/>
      <c r="H10" s="110"/>
      <c r="I10" s="110"/>
    </row>
    <row r="11" spans="1:9" ht="15" customHeight="1" x14ac:dyDescent="0.25">
      <c r="A11" s="110"/>
      <c r="B11" s="110"/>
      <c r="C11" s="110"/>
      <c r="D11" s="110"/>
      <c r="E11" s="110"/>
      <c r="F11" s="110"/>
      <c r="G11" s="110"/>
      <c r="H11" s="110"/>
      <c r="I11" s="110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5"/>
  <sheetViews>
    <sheetView view="pageBreakPreview" zoomScaleNormal="100" zoomScaleSheetLayoutView="100" workbookViewId="0">
      <selection activeCell="A14" activeCellId="13" sqref="A2:I2 A3:A6 H3:I6 A7:I7 A8:D8 A9:D13 E9 F8:I8 H9:I9 F10:I10 F11:I11 F12:I12 F13:I13 A14:I14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  <c r="I1" s="386"/>
    </row>
    <row r="2" spans="1:9" ht="18.75" x14ac:dyDescent="0.25">
      <c r="A2" s="389" t="s">
        <v>485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22" t="s">
        <v>11</v>
      </c>
      <c r="B3" s="403"/>
      <c r="C3" s="403"/>
      <c r="D3" s="403"/>
      <c r="E3" s="403"/>
      <c r="F3" s="403"/>
      <c r="G3" s="403"/>
      <c r="H3" s="392" t="s">
        <v>15</v>
      </c>
      <c r="I3" s="23" t="str">
        <f>'PLANILHA ORÇAMENTÁRIA'!H3</f>
        <v>SINAPI</v>
      </c>
    </row>
    <row r="4" spans="1:9" x14ac:dyDescent="0.25">
      <c r="A4" s="22" t="s">
        <v>12</v>
      </c>
      <c r="B4" s="403"/>
      <c r="C4" s="403"/>
      <c r="D4" s="403"/>
      <c r="E4" s="403"/>
      <c r="F4" s="403"/>
      <c r="G4" s="403"/>
      <c r="H4" s="392"/>
      <c r="I4" s="24" t="str">
        <f>'PLANILHA ORÇAMENTÁRIA'!H4</f>
        <v>AP - Janeiro/2018</v>
      </c>
    </row>
    <row r="5" spans="1:9" x14ac:dyDescent="0.25">
      <c r="A5" s="22" t="s">
        <v>13</v>
      </c>
      <c r="B5" s="403"/>
      <c r="C5" s="403"/>
      <c r="D5" s="403"/>
      <c r="E5" s="403"/>
      <c r="F5" s="403"/>
      <c r="G5" s="403"/>
      <c r="H5" s="397">
        <f>BDI!I23</f>
        <v>0.31126118815198645</v>
      </c>
      <c r="I5" s="23" t="str">
        <f>'PLANILHA ORÇAMENTÁRIA'!H5</f>
        <v>SICRO</v>
      </c>
    </row>
    <row r="6" spans="1:9" x14ac:dyDescent="0.25">
      <c r="A6" s="22" t="s">
        <v>14</v>
      </c>
      <c r="B6" s="403"/>
      <c r="C6" s="403"/>
      <c r="D6" s="403"/>
      <c r="E6" s="403"/>
      <c r="F6" s="403"/>
      <c r="G6" s="403"/>
      <c r="H6" s="397"/>
      <c r="I6" s="24" t="str">
        <f>'PLANILHA ORÇAMENTÁRIA'!H6</f>
        <v>AP - Setembro/2017</v>
      </c>
    </row>
    <row r="7" spans="1:9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794</v>
      </c>
      <c r="I7" s="25" t="s">
        <v>462</v>
      </c>
    </row>
    <row r="8" spans="1:9" ht="15.75" x14ac:dyDescent="0.25">
      <c r="A8" s="57" t="s">
        <v>345</v>
      </c>
      <c r="B8" s="103" t="s">
        <v>69</v>
      </c>
      <c r="C8" s="123" t="s">
        <v>248</v>
      </c>
      <c r="D8" s="64" t="s">
        <v>194</v>
      </c>
      <c r="E8" s="73"/>
      <c r="F8" s="95"/>
      <c r="G8" s="95"/>
      <c r="H8" s="95"/>
      <c r="I8" s="90">
        <f>E8</f>
        <v>0</v>
      </c>
    </row>
    <row r="9" spans="1:9" ht="45" x14ac:dyDescent="0.25">
      <c r="A9" s="57" t="s">
        <v>346</v>
      </c>
      <c r="B9" s="124" t="s">
        <v>241</v>
      </c>
      <c r="C9" s="104" t="s">
        <v>247</v>
      </c>
      <c r="D9" s="79" t="s">
        <v>19</v>
      </c>
      <c r="E9" s="95"/>
      <c r="F9" s="73"/>
      <c r="G9" s="73"/>
      <c r="H9" s="95"/>
      <c r="I9" s="90">
        <f>F9*G9</f>
        <v>0</v>
      </c>
    </row>
    <row r="10" spans="1:9" ht="45" x14ac:dyDescent="0.25">
      <c r="A10" s="57" t="s">
        <v>347</v>
      </c>
      <c r="B10" s="124" t="s">
        <v>243</v>
      </c>
      <c r="C10" s="104" t="s">
        <v>246</v>
      </c>
      <c r="D10" s="64" t="s">
        <v>194</v>
      </c>
      <c r="E10" s="73"/>
      <c r="F10" s="95"/>
      <c r="G10" s="95"/>
      <c r="H10" s="95"/>
      <c r="I10" s="90">
        <f>E10</f>
        <v>0</v>
      </c>
    </row>
    <row r="11" spans="1:9" ht="45" x14ac:dyDescent="0.25">
      <c r="A11" s="57" t="s">
        <v>348</v>
      </c>
      <c r="B11" s="124" t="s">
        <v>244</v>
      </c>
      <c r="C11" s="104" t="s">
        <v>245</v>
      </c>
      <c r="D11" s="64" t="s">
        <v>194</v>
      </c>
      <c r="E11" s="73"/>
      <c r="F11" s="95"/>
      <c r="G11" s="95"/>
      <c r="H11" s="95"/>
      <c r="I11" s="90">
        <f t="shared" ref="I11:I13" si="0">E11</f>
        <v>0</v>
      </c>
    </row>
    <row r="12" spans="1:9" ht="45" x14ac:dyDescent="0.25">
      <c r="A12" s="57" t="s">
        <v>349</v>
      </c>
      <c r="B12" s="124" t="s">
        <v>249</v>
      </c>
      <c r="C12" s="104" t="s">
        <v>250</v>
      </c>
      <c r="D12" s="64" t="s">
        <v>194</v>
      </c>
      <c r="E12" s="73"/>
      <c r="F12" s="95"/>
      <c r="G12" s="95"/>
      <c r="H12" s="95"/>
      <c r="I12" s="90">
        <f t="shared" si="0"/>
        <v>0</v>
      </c>
    </row>
    <row r="13" spans="1:9" ht="45" x14ac:dyDescent="0.25">
      <c r="A13" s="57" t="s">
        <v>350</v>
      </c>
      <c r="B13" s="124" t="s">
        <v>252</v>
      </c>
      <c r="C13" s="104" t="s">
        <v>251</v>
      </c>
      <c r="D13" s="64" t="s">
        <v>194</v>
      </c>
      <c r="E13" s="73"/>
      <c r="F13" s="95"/>
      <c r="G13" s="95"/>
      <c r="H13" s="95"/>
      <c r="I13" s="90">
        <f t="shared" si="0"/>
        <v>0</v>
      </c>
    </row>
    <row r="14" spans="1:9" ht="90" customHeight="1" x14ac:dyDescent="0.25">
      <c r="A14" s="384" t="s">
        <v>597</v>
      </c>
      <c r="B14" s="384"/>
      <c r="C14" s="384"/>
      <c r="D14" s="384"/>
      <c r="E14" s="384"/>
      <c r="F14" s="384"/>
      <c r="G14" s="384"/>
      <c r="H14" s="384"/>
      <c r="I14" s="384"/>
    </row>
    <row r="15" spans="1:9" ht="15" customHeight="1" x14ac:dyDescent="0.25">
      <c r="A15" s="110"/>
      <c r="B15" s="110"/>
      <c r="C15" s="110"/>
      <c r="D15" s="110"/>
      <c r="E15" s="110"/>
      <c r="F15" s="110"/>
      <c r="G15" s="110"/>
      <c r="H15" s="110"/>
      <c r="I15" s="110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zoomScaleNormal="90" zoomScaleSheetLayoutView="100" workbookViewId="0">
      <selection activeCell="A24" activeCellId="9" sqref="A2:I2 A3:A6 I3:I6 A7:I8 A9:H14 A15:I15 A16:I16 A17:H20 A21:I23 A24:I48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90" customHeight="1" x14ac:dyDescent="0.25">
      <c r="A1" s="431" t="s">
        <v>806</v>
      </c>
      <c r="B1" s="432"/>
      <c r="C1" s="432"/>
      <c r="D1" s="432"/>
      <c r="E1" s="432"/>
      <c r="F1" s="432"/>
      <c r="G1" s="432"/>
      <c r="H1" s="432"/>
      <c r="I1" s="432"/>
    </row>
    <row r="2" spans="1:9" ht="18.75" x14ac:dyDescent="0.25">
      <c r="A2" s="443" t="s">
        <v>51</v>
      </c>
      <c r="B2" s="444"/>
      <c r="C2" s="444"/>
      <c r="D2" s="444"/>
      <c r="E2" s="444"/>
      <c r="F2" s="444"/>
      <c r="G2" s="444"/>
      <c r="H2" s="444"/>
      <c r="I2" s="444"/>
    </row>
    <row r="3" spans="1:9" x14ac:dyDescent="0.25">
      <c r="A3" s="19" t="s">
        <v>11</v>
      </c>
      <c r="B3" s="445"/>
      <c r="C3" s="446"/>
      <c r="D3" s="446"/>
      <c r="E3" s="446"/>
      <c r="F3" s="446"/>
      <c r="G3" s="446"/>
      <c r="H3" s="447"/>
      <c r="I3" s="130" t="s">
        <v>15</v>
      </c>
    </row>
    <row r="4" spans="1:9" x14ac:dyDescent="0.25">
      <c r="A4" s="19" t="s">
        <v>12</v>
      </c>
      <c r="B4" s="445"/>
      <c r="C4" s="446"/>
      <c r="D4" s="446"/>
      <c r="E4" s="446"/>
      <c r="F4" s="446"/>
      <c r="G4" s="446"/>
      <c r="H4" s="447"/>
      <c r="I4" s="448">
        <f>I23</f>
        <v>0.31126118815198645</v>
      </c>
    </row>
    <row r="5" spans="1:9" x14ac:dyDescent="0.25">
      <c r="A5" s="19" t="s">
        <v>13</v>
      </c>
      <c r="B5" s="445"/>
      <c r="C5" s="446"/>
      <c r="D5" s="446"/>
      <c r="E5" s="446"/>
      <c r="F5" s="446"/>
      <c r="G5" s="446"/>
      <c r="H5" s="447"/>
      <c r="I5" s="449"/>
    </row>
    <row r="6" spans="1:9" x14ac:dyDescent="0.25">
      <c r="A6" s="19" t="s">
        <v>14</v>
      </c>
      <c r="B6" s="451"/>
      <c r="C6" s="452"/>
      <c r="D6" s="452"/>
      <c r="E6" s="452"/>
      <c r="F6" s="452"/>
      <c r="G6" s="452"/>
      <c r="H6" s="453"/>
      <c r="I6" s="450"/>
    </row>
    <row r="7" spans="1:9" ht="15.75" customHeight="1" x14ac:dyDescent="0.25">
      <c r="A7" s="423" t="s">
        <v>446</v>
      </c>
      <c r="B7" s="424"/>
      <c r="C7" s="424"/>
      <c r="D7" s="424"/>
      <c r="E7" s="424"/>
      <c r="F7" s="424"/>
      <c r="G7" s="424"/>
      <c r="H7" s="424"/>
      <c r="I7" s="424"/>
    </row>
    <row r="8" spans="1:9" ht="15.75" customHeight="1" thickBot="1" x14ac:dyDescent="0.3">
      <c r="A8" s="25" t="s">
        <v>436</v>
      </c>
      <c r="B8" s="425" t="s">
        <v>447</v>
      </c>
      <c r="C8" s="426"/>
      <c r="D8" s="426"/>
      <c r="E8" s="426"/>
      <c r="F8" s="426"/>
      <c r="G8" s="426"/>
      <c r="H8" s="426"/>
      <c r="I8" s="427"/>
    </row>
    <row r="9" spans="1:9" x14ac:dyDescent="0.25">
      <c r="A9" s="131">
        <v>1</v>
      </c>
      <c r="B9" s="428" t="s">
        <v>437</v>
      </c>
      <c r="C9" s="429"/>
      <c r="D9" s="429"/>
      <c r="E9" s="429"/>
      <c r="F9" s="429"/>
      <c r="G9" s="429"/>
      <c r="H9" s="430"/>
      <c r="I9" s="125">
        <v>4.0099999999999997E-2</v>
      </c>
    </row>
    <row r="10" spans="1:9" x14ac:dyDescent="0.25">
      <c r="A10" s="132">
        <v>2</v>
      </c>
      <c r="B10" s="411" t="s">
        <v>438</v>
      </c>
      <c r="C10" s="412"/>
      <c r="D10" s="412"/>
      <c r="E10" s="412"/>
      <c r="F10" s="412"/>
      <c r="G10" s="412"/>
      <c r="H10" s="413"/>
      <c r="I10" s="126">
        <v>4.0000000000000001E-3</v>
      </c>
    </row>
    <row r="11" spans="1:9" x14ac:dyDescent="0.25">
      <c r="A11" s="132">
        <v>3</v>
      </c>
      <c r="B11" s="411" t="s">
        <v>439</v>
      </c>
      <c r="C11" s="412"/>
      <c r="D11" s="412"/>
      <c r="E11" s="412"/>
      <c r="F11" s="412"/>
      <c r="G11" s="412"/>
      <c r="H11" s="413"/>
      <c r="I11" s="127">
        <v>5.5999999999999999E-3</v>
      </c>
    </row>
    <row r="12" spans="1:9" x14ac:dyDescent="0.25">
      <c r="A12" s="132">
        <v>4</v>
      </c>
      <c r="B12" s="411" t="s">
        <v>440</v>
      </c>
      <c r="C12" s="412"/>
      <c r="D12" s="412"/>
      <c r="E12" s="412"/>
      <c r="F12" s="412"/>
      <c r="G12" s="412"/>
      <c r="H12" s="413"/>
      <c r="I12" s="126">
        <v>1.11E-2</v>
      </c>
    </row>
    <row r="13" spans="1:9" x14ac:dyDescent="0.25">
      <c r="A13" s="132">
        <v>5</v>
      </c>
      <c r="B13" s="411" t="s">
        <v>441</v>
      </c>
      <c r="C13" s="412"/>
      <c r="D13" s="412"/>
      <c r="E13" s="412"/>
      <c r="F13" s="412"/>
      <c r="G13" s="412"/>
      <c r="H13" s="413"/>
      <c r="I13" s="126">
        <v>7.2999999999999995E-2</v>
      </c>
    </row>
    <row r="14" spans="1:9" ht="15.75" thickBot="1" x14ac:dyDescent="0.3">
      <c r="A14" s="133">
        <v>6</v>
      </c>
      <c r="B14" s="408" t="s">
        <v>442</v>
      </c>
      <c r="C14" s="409"/>
      <c r="D14" s="409"/>
      <c r="E14" s="409"/>
      <c r="F14" s="409"/>
      <c r="G14" s="409"/>
      <c r="H14" s="410"/>
      <c r="I14" s="128">
        <f>I21</f>
        <v>0.13150000000000001</v>
      </c>
    </row>
    <row r="15" spans="1:9" x14ac:dyDescent="0.25">
      <c r="A15" s="134"/>
      <c r="B15" s="135"/>
      <c r="C15" s="135"/>
      <c r="D15" s="135"/>
      <c r="E15" s="135"/>
      <c r="F15" s="135"/>
      <c r="G15" s="135"/>
      <c r="H15" s="135"/>
      <c r="I15" s="136"/>
    </row>
    <row r="16" spans="1:9" ht="15.75" thickBot="1" x14ac:dyDescent="0.3">
      <c r="A16" s="25" t="s">
        <v>436</v>
      </c>
      <c r="B16" s="425" t="s">
        <v>443</v>
      </c>
      <c r="C16" s="426"/>
      <c r="D16" s="426"/>
      <c r="E16" s="426"/>
      <c r="F16" s="426"/>
      <c r="G16" s="426"/>
      <c r="H16" s="426"/>
      <c r="I16" s="427"/>
    </row>
    <row r="17" spans="1:9" x14ac:dyDescent="0.25">
      <c r="A17" s="132" t="s">
        <v>48</v>
      </c>
      <c r="B17" s="428" t="s">
        <v>430</v>
      </c>
      <c r="C17" s="429"/>
      <c r="D17" s="429"/>
      <c r="E17" s="429"/>
      <c r="F17" s="429"/>
      <c r="G17" s="429"/>
      <c r="H17" s="430"/>
      <c r="I17" s="129">
        <v>0.05</v>
      </c>
    </row>
    <row r="18" spans="1:9" x14ac:dyDescent="0.25">
      <c r="A18" s="132" t="s">
        <v>61</v>
      </c>
      <c r="B18" s="411" t="s">
        <v>427</v>
      </c>
      <c r="C18" s="412"/>
      <c r="D18" s="412"/>
      <c r="E18" s="412"/>
      <c r="F18" s="412"/>
      <c r="G18" s="412"/>
      <c r="H18" s="413"/>
      <c r="I18" s="126">
        <v>6.4999999999999997E-3</v>
      </c>
    </row>
    <row r="19" spans="1:9" x14ac:dyDescent="0.25">
      <c r="A19" s="132" t="s">
        <v>62</v>
      </c>
      <c r="B19" s="411" t="s">
        <v>428</v>
      </c>
      <c r="C19" s="412"/>
      <c r="D19" s="412"/>
      <c r="E19" s="412"/>
      <c r="F19" s="412"/>
      <c r="G19" s="412"/>
      <c r="H19" s="413"/>
      <c r="I19" s="126">
        <v>0.03</v>
      </c>
    </row>
    <row r="20" spans="1:9" ht="15.75" thickBot="1" x14ac:dyDescent="0.3">
      <c r="A20" s="132" t="s">
        <v>99</v>
      </c>
      <c r="B20" s="414" t="s">
        <v>429</v>
      </c>
      <c r="C20" s="415"/>
      <c r="D20" s="415"/>
      <c r="E20" s="415"/>
      <c r="F20" s="415"/>
      <c r="G20" s="415"/>
      <c r="H20" s="416"/>
      <c r="I20" s="126">
        <v>4.4999999999999998E-2</v>
      </c>
    </row>
    <row r="21" spans="1:9" ht="15.75" thickBot="1" x14ac:dyDescent="0.3">
      <c r="A21" s="440" t="s">
        <v>444</v>
      </c>
      <c r="B21" s="441"/>
      <c r="C21" s="441"/>
      <c r="D21" s="441"/>
      <c r="E21" s="441"/>
      <c r="F21" s="441"/>
      <c r="G21" s="441"/>
      <c r="H21" s="442"/>
      <c r="I21" s="1">
        <f>SUM(I17:I20)</f>
        <v>0.13150000000000001</v>
      </c>
    </row>
    <row r="22" spans="1:9" ht="15.75" thickBot="1" x14ac:dyDescent="0.3">
      <c r="A22" s="434" t="s">
        <v>445</v>
      </c>
      <c r="B22" s="435"/>
      <c r="C22" s="435"/>
      <c r="D22" s="435"/>
      <c r="E22" s="435"/>
      <c r="F22" s="435"/>
      <c r="G22" s="435"/>
      <c r="H22" s="435"/>
      <c r="I22" s="436"/>
    </row>
    <row r="23" spans="1:9" ht="15.75" thickBot="1" x14ac:dyDescent="0.3">
      <c r="A23" s="437"/>
      <c r="B23" s="438"/>
      <c r="C23" s="438"/>
      <c r="D23" s="438"/>
      <c r="E23" s="438"/>
      <c r="F23" s="438"/>
      <c r="G23" s="438"/>
      <c r="H23" s="439"/>
      <c r="I23" s="137">
        <f>(((1+I9+I10+I11)*(1+I12)*(1+I13))/(1-I14))-1</f>
        <v>0.31126118815198645</v>
      </c>
    </row>
    <row r="24" spans="1:9" x14ac:dyDescent="0.25">
      <c r="A24" s="138"/>
      <c r="B24" s="139"/>
      <c r="C24" s="139"/>
      <c r="D24" s="139"/>
      <c r="E24" s="139"/>
      <c r="F24" s="139"/>
      <c r="G24" s="139"/>
      <c r="H24" s="139"/>
      <c r="I24" s="140"/>
    </row>
    <row r="25" spans="1:9" x14ac:dyDescent="0.25">
      <c r="A25" s="141" t="s">
        <v>435</v>
      </c>
      <c r="B25" s="142"/>
      <c r="C25" s="143"/>
      <c r="D25" s="143"/>
      <c r="E25" s="143"/>
      <c r="F25" s="143"/>
      <c r="G25" s="143"/>
      <c r="H25" s="143"/>
      <c r="I25" s="144"/>
    </row>
    <row r="26" spans="1:9" x14ac:dyDescent="0.25">
      <c r="A26" s="141"/>
      <c r="B26" s="145"/>
      <c r="C26" s="143"/>
      <c r="D26" s="143"/>
      <c r="E26" s="143"/>
      <c r="F26" s="143"/>
      <c r="G26" s="143"/>
      <c r="H26" s="143"/>
      <c r="I26" s="144"/>
    </row>
    <row r="27" spans="1:9" ht="15.75" thickBot="1" x14ac:dyDescent="0.3">
      <c r="A27" s="146"/>
      <c r="B27" s="147"/>
      <c r="C27" s="147"/>
      <c r="D27" s="147"/>
      <c r="E27" s="147"/>
      <c r="F27" s="147"/>
      <c r="G27" s="147"/>
      <c r="H27" s="147"/>
      <c r="I27" s="148"/>
    </row>
    <row r="28" spans="1:9" x14ac:dyDescent="0.25">
      <c r="A28" s="149"/>
      <c r="B28" s="150"/>
      <c r="C28" s="150"/>
      <c r="D28" s="150"/>
      <c r="E28" s="150"/>
      <c r="F28" s="150"/>
      <c r="G28" s="150"/>
      <c r="H28" s="150"/>
      <c r="I28" s="151"/>
    </row>
    <row r="29" spans="1:9" x14ac:dyDescent="0.25">
      <c r="A29" s="152" t="s">
        <v>431</v>
      </c>
      <c r="B29" s="135"/>
      <c r="C29" s="135"/>
      <c r="D29" s="135"/>
      <c r="E29" s="135"/>
      <c r="F29" s="135"/>
      <c r="G29" s="135"/>
      <c r="H29" s="135"/>
      <c r="I29" s="153"/>
    </row>
    <row r="30" spans="1:9" ht="30" customHeight="1" x14ac:dyDescent="0.25">
      <c r="A30" s="417" t="s">
        <v>554</v>
      </c>
      <c r="B30" s="418"/>
      <c r="C30" s="418"/>
      <c r="D30" s="418"/>
      <c r="E30" s="418"/>
      <c r="F30" s="418"/>
      <c r="G30" s="418"/>
      <c r="H30" s="418"/>
      <c r="I30" s="419"/>
    </row>
    <row r="31" spans="1:9" ht="27" customHeight="1" x14ac:dyDescent="0.25">
      <c r="A31" s="417" t="s">
        <v>432</v>
      </c>
      <c r="B31" s="418"/>
      <c r="C31" s="418"/>
      <c r="D31" s="418"/>
      <c r="E31" s="418"/>
      <c r="F31" s="418"/>
      <c r="G31" s="418"/>
      <c r="H31" s="418"/>
      <c r="I31" s="419"/>
    </row>
    <row r="32" spans="1:9" ht="25.5" customHeight="1" x14ac:dyDescent="0.25">
      <c r="A32" s="420" t="s">
        <v>433</v>
      </c>
      <c r="B32" s="421"/>
      <c r="C32" s="421"/>
      <c r="D32" s="421"/>
      <c r="E32" s="421"/>
      <c r="F32" s="421"/>
      <c r="G32" s="421"/>
      <c r="H32" s="421"/>
      <c r="I32" s="422"/>
    </row>
    <row r="33" spans="1:9" ht="38.25" customHeight="1" x14ac:dyDescent="0.25">
      <c r="A33" s="417" t="s">
        <v>434</v>
      </c>
      <c r="B33" s="418"/>
      <c r="C33" s="418"/>
      <c r="D33" s="418"/>
      <c r="E33" s="418"/>
      <c r="F33" s="418"/>
      <c r="G33" s="418"/>
      <c r="H33" s="418"/>
      <c r="I33" s="419"/>
    </row>
    <row r="34" spans="1:9" x14ac:dyDescent="0.25">
      <c r="A34" s="417"/>
      <c r="B34" s="418"/>
      <c r="C34" s="418"/>
      <c r="D34" s="418"/>
      <c r="E34" s="418"/>
      <c r="F34" s="418"/>
      <c r="G34" s="418"/>
      <c r="H34" s="418"/>
      <c r="I34" s="419"/>
    </row>
    <row r="35" spans="1:9" ht="15.75" thickBot="1" x14ac:dyDescent="0.3">
      <c r="A35" s="405" t="s">
        <v>448</v>
      </c>
      <c r="B35" s="406"/>
      <c r="C35" s="406"/>
      <c r="D35" s="406"/>
      <c r="E35" s="406"/>
      <c r="F35" s="406"/>
      <c r="G35" s="406"/>
      <c r="H35" s="406"/>
      <c r="I35" s="407"/>
    </row>
    <row r="36" spans="1:9" x14ac:dyDescent="0.25">
      <c r="A36" s="154"/>
      <c r="B36" s="154"/>
      <c r="C36" s="154"/>
      <c r="D36" s="154"/>
      <c r="E36" s="154"/>
      <c r="F36" s="154"/>
      <c r="G36" s="154"/>
      <c r="H36" s="154"/>
      <c r="I36" s="154"/>
    </row>
    <row r="37" spans="1:9" x14ac:dyDescent="0.25">
      <c r="A37" s="154"/>
      <c r="B37" s="154"/>
      <c r="C37" s="154"/>
      <c r="D37" s="154"/>
      <c r="E37" s="154"/>
      <c r="F37" s="154"/>
      <c r="G37" s="154"/>
      <c r="H37" s="154"/>
      <c r="I37" s="154"/>
    </row>
    <row r="38" spans="1:9" x14ac:dyDescent="0.25">
      <c r="A38" s="154"/>
      <c r="B38" s="154"/>
      <c r="C38" s="154"/>
      <c r="D38" s="154"/>
      <c r="E38" s="154"/>
      <c r="F38" s="154"/>
      <c r="G38" s="154"/>
      <c r="H38" s="154"/>
      <c r="I38" s="154"/>
    </row>
    <row r="39" spans="1:9" x14ac:dyDescent="0.25">
      <c r="A39" s="154"/>
      <c r="B39" s="154"/>
      <c r="C39" s="154"/>
      <c r="D39" s="154"/>
      <c r="E39" s="154"/>
      <c r="F39" s="154"/>
      <c r="G39" s="154"/>
      <c r="H39" s="154"/>
      <c r="I39" s="154"/>
    </row>
    <row r="40" spans="1:9" x14ac:dyDescent="0.25">
      <c r="A40" s="154"/>
      <c r="B40" s="154"/>
      <c r="C40" s="154"/>
      <c r="D40" s="154"/>
      <c r="E40" s="154"/>
      <c r="F40" s="154"/>
      <c r="G40" s="154"/>
      <c r="H40" s="154"/>
      <c r="I40" s="154"/>
    </row>
    <row r="41" spans="1:9" x14ac:dyDescent="0.25">
      <c r="A41" s="154"/>
      <c r="B41" s="154"/>
      <c r="C41" s="154"/>
      <c r="D41" s="154"/>
      <c r="E41" s="154"/>
      <c r="F41" s="154"/>
      <c r="G41" s="154"/>
      <c r="H41" s="154"/>
      <c r="I41" s="154"/>
    </row>
    <row r="42" spans="1:9" x14ac:dyDescent="0.25">
      <c r="A42" s="154"/>
      <c r="B42" s="154"/>
      <c r="C42" s="154"/>
      <c r="D42" s="154"/>
      <c r="E42" s="154"/>
      <c r="F42" s="154"/>
      <c r="G42" s="154"/>
      <c r="H42" s="154"/>
      <c r="I42" s="154"/>
    </row>
    <row r="43" spans="1:9" x14ac:dyDescent="0.25">
      <c r="A43" s="154"/>
      <c r="B43" s="154"/>
      <c r="C43" s="154"/>
      <c r="D43" s="154"/>
      <c r="E43" s="154"/>
      <c r="F43" s="154"/>
      <c r="G43" s="154"/>
      <c r="H43" s="154"/>
      <c r="I43" s="154"/>
    </row>
    <row r="44" spans="1:9" x14ac:dyDescent="0.25">
      <c r="A44" s="154"/>
      <c r="B44" s="154"/>
      <c r="C44" s="154"/>
      <c r="D44" s="154"/>
      <c r="E44" s="154"/>
      <c r="F44" s="154"/>
      <c r="G44" s="154"/>
      <c r="H44" s="154"/>
      <c r="I44" s="154"/>
    </row>
    <row r="45" spans="1:9" x14ac:dyDescent="0.25">
      <c r="A45" s="154"/>
      <c r="B45" s="154"/>
      <c r="C45" s="154"/>
      <c r="D45" s="154"/>
      <c r="E45" s="154"/>
      <c r="F45" s="154"/>
      <c r="G45" s="154"/>
      <c r="H45" s="154"/>
      <c r="I45" s="154"/>
    </row>
    <row r="46" spans="1:9" x14ac:dyDescent="0.25">
      <c r="A46" s="154"/>
      <c r="B46" s="154"/>
      <c r="C46" s="154"/>
      <c r="D46" s="154"/>
      <c r="E46" s="154"/>
      <c r="F46" s="154"/>
      <c r="G46" s="154"/>
      <c r="H46" s="154"/>
      <c r="I46" s="154"/>
    </row>
    <row r="47" spans="1:9" x14ac:dyDescent="0.25">
      <c r="A47" s="154"/>
      <c r="B47" s="154"/>
      <c r="C47" s="154"/>
      <c r="D47" s="154"/>
      <c r="E47" s="154"/>
      <c r="F47" s="154"/>
      <c r="G47" s="154"/>
      <c r="H47" s="154"/>
      <c r="I47" s="154"/>
    </row>
    <row r="48" spans="1:9" ht="90" customHeight="1" x14ac:dyDescent="0.25">
      <c r="A48" s="433" t="s">
        <v>597</v>
      </c>
      <c r="B48" s="433"/>
      <c r="C48" s="433"/>
      <c r="D48" s="433"/>
      <c r="E48" s="433"/>
      <c r="F48" s="433"/>
      <c r="G48" s="433"/>
      <c r="H48" s="433"/>
      <c r="I48" s="433"/>
    </row>
  </sheetData>
  <sheetProtection password="F990" sheet="1" objects="1" scenarios="1"/>
  <mergeCells count="30">
    <mergeCell ref="A1:I1"/>
    <mergeCell ref="A48:I48"/>
    <mergeCell ref="B19:H19"/>
    <mergeCell ref="B18:H18"/>
    <mergeCell ref="A33:I33"/>
    <mergeCell ref="A34:I34"/>
    <mergeCell ref="A22:I22"/>
    <mergeCell ref="A23:H23"/>
    <mergeCell ref="A21:H21"/>
    <mergeCell ref="A2:I2"/>
    <mergeCell ref="B3:H3"/>
    <mergeCell ref="B4:H4"/>
    <mergeCell ref="I4:I6"/>
    <mergeCell ref="B5:H5"/>
    <mergeCell ref="B6:H6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30:I30"/>
    <mergeCell ref="A31:I31"/>
    <mergeCell ref="A32:I32"/>
  </mergeCells>
  <pageMargins left="0.511811024" right="0.511811024" top="0.78740157499999996" bottom="0.78740157499999996" header="0.31496062000000002" footer="0.31496062000000002"/>
  <pageSetup paperSize="9" scale="76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BreakPreview" zoomScaleNormal="100" zoomScaleSheetLayoutView="100" workbookViewId="0">
      <selection activeCell="N16" sqref="N16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8.85546875" style="2" bestFit="1" customWidth="1"/>
    <col min="10" max="16384" width="9.140625" style="2"/>
  </cols>
  <sheetData>
    <row r="1" spans="1:9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  <c r="I1" s="386"/>
    </row>
    <row r="2" spans="1:9" ht="18.75" x14ac:dyDescent="0.25">
      <c r="A2" s="389" t="s">
        <v>51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22" t="s">
        <v>11</v>
      </c>
      <c r="B3" s="390"/>
      <c r="C3" s="390"/>
      <c r="D3" s="390"/>
      <c r="E3" s="390"/>
      <c r="F3" s="390"/>
      <c r="G3" s="390"/>
      <c r="H3" s="390"/>
      <c r="I3" s="23" t="str">
        <f>'PLANILHA ORÇAMENTÁRIA'!H3</f>
        <v>SINAPI</v>
      </c>
    </row>
    <row r="4" spans="1:9" x14ac:dyDescent="0.25">
      <c r="A4" s="22" t="s">
        <v>12</v>
      </c>
      <c r="B4" s="390"/>
      <c r="C4" s="390"/>
      <c r="D4" s="390"/>
      <c r="E4" s="390"/>
      <c r="F4" s="390"/>
      <c r="G4" s="390"/>
      <c r="H4" s="390"/>
      <c r="I4" s="24" t="str">
        <f>'PLANILHA ORÇAMENTÁRIA'!H4</f>
        <v>AP - Janeiro/2018</v>
      </c>
    </row>
    <row r="5" spans="1:9" x14ac:dyDescent="0.25">
      <c r="A5" s="22" t="s">
        <v>13</v>
      </c>
      <c r="B5" s="390"/>
      <c r="C5" s="390"/>
      <c r="D5" s="390"/>
      <c r="E5" s="390"/>
      <c r="F5" s="390"/>
      <c r="G5" s="390"/>
      <c r="H5" s="390"/>
      <c r="I5" s="23" t="str">
        <f>'PLANILHA ORÇAMENTÁRIA'!H5</f>
        <v>SICRO</v>
      </c>
    </row>
    <row r="6" spans="1:9" x14ac:dyDescent="0.25">
      <c r="A6" s="22" t="s">
        <v>14</v>
      </c>
      <c r="B6" s="390"/>
      <c r="C6" s="390"/>
      <c r="D6" s="390"/>
      <c r="E6" s="390"/>
      <c r="F6" s="390"/>
      <c r="G6" s="390"/>
      <c r="H6" s="390"/>
      <c r="I6" s="24" t="str">
        <f>'PLANILHA ORÇAMENTÁRIA'!H6</f>
        <v>AP - Setembro/2017</v>
      </c>
    </row>
    <row r="7" spans="1:9" x14ac:dyDescent="0.25">
      <c r="A7" s="457" t="s">
        <v>451</v>
      </c>
      <c r="B7" s="457"/>
      <c r="C7" s="457"/>
      <c r="D7" s="457"/>
      <c r="E7" s="457"/>
      <c r="F7" s="457"/>
      <c r="G7" s="457"/>
      <c r="H7" s="457"/>
      <c r="I7" s="457"/>
    </row>
    <row r="8" spans="1:9" x14ac:dyDescent="0.25">
      <c r="A8" s="457" t="s">
        <v>452</v>
      </c>
      <c r="B8" s="457"/>
      <c r="C8" s="457"/>
      <c r="D8" s="457"/>
      <c r="E8" s="457"/>
      <c r="F8" s="457"/>
      <c r="G8" s="457"/>
      <c r="H8" s="457"/>
      <c r="I8" s="457"/>
    </row>
    <row r="9" spans="1:9" ht="30" x14ac:dyDescent="0.25">
      <c r="A9" s="25" t="s">
        <v>128</v>
      </c>
      <c r="B9" s="455" t="s">
        <v>605</v>
      </c>
      <c r="C9" s="455"/>
      <c r="D9" s="455"/>
      <c r="E9" s="455"/>
      <c r="F9" s="25" t="s">
        <v>19</v>
      </c>
      <c r="G9" s="25" t="s">
        <v>3</v>
      </c>
      <c r="H9" s="25" t="s">
        <v>238</v>
      </c>
      <c r="I9" s="25" t="s">
        <v>240</v>
      </c>
    </row>
    <row r="10" spans="1:9" ht="15.75" x14ac:dyDescent="0.25">
      <c r="A10" s="57" t="s">
        <v>129</v>
      </c>
      <c r="B10" s="57">
        <v>1379</v>
      </c>
      <c r="C10" s="458" t="s">
        <v>601</v>
      </c>
      <c r="D10" s="458"/>
      <c r="E10" s="458"/>
      <c r="F10" s="60" t="s">
        <v>118</v>
      </c>
      <c r="G10" s="155">
        <v>7.5</v>
      </c>
      <c r="H10" s="155">
        <v>0.59</v>
      </c>
      <c r="I10" s="156">
        <f>G10*H10</f>
        <v>4.4249999999999998</v>
      </c>
    </row>
    <row r="11" spans="1:9" ht="15.75" customHeight="1" x14ac:dyDescent="0.25">
      <c r="A11" s="57" t="s">
        <v>130</v>
      </c>
      <c r="B11" s="57">
        <v>370</v>
      </c>
      <c r="C11" s="454" t="s">
        <v>602</v>
      </c>
      <c r="D11" s="454"/>
      <c r="E11" s="454"/>
      <c r="F11" s="60" t="s">
        <v>29</v>
      </c>
      <c r="G11" s="155">
        <v>0.01</v>
      </c>
      <c r="H11" s="155">
        <v>55</v>
      </c>
      <c r="I11" s="156">
        <f t="shared" ref="I11:I14" si="0">G11*H11</f>
        <v>0.55000000000000004</v>
      </c>
    </row>
    <row r="12" spans="1:9" ht="15.75" customHeight="1" x14ac:dyDescent="0.25">
      <c r="A12" s="57" t="s">
        <v>131</v>
      </c>
      <c r="B12" s="57">
        <v>38135</v>
      </c>
      <c r="C12" s="454" t="s">
        <v>603</v>
      </c>
      <c r="D12" s="454"/>
      <c r="E12" s="454"/>
      <c r="F12" s="60" t="s">
        <v>19</v>
      </c>
      <c r="G12" s="155">
        <v>1.02</v>
      </c>
      <c r="H12" s="155">
        <v>53.55</v>
      </c>
      <c r="I12" s="156">
        <f t="shared" si="0"/>
        <v>54.620999999999995</v>
      </c>
    </row>
    <row r="13" spans="1:9" ht="15.75" customHeight="1" x14ac:dyDescent="0.25">
      <c r="A13" s="57" t="s">
        <v>132</v>
      </c>
      <c r="B13" s="57">
        <v>88309</v>
      </c>
      <c r="C13" s="454" t="s">
        <v>604</v>
      </c>
      <c r="D13" s="454"/>
      <c r="E13" s="454"/>
      <c r="F13" s="60" t="s">
        <v>119</v>
      </c>
      <c r="G13" s="155">
        <v>0.6</v>
      </c>
      <c r="H13" s="155">
        <v>14.7</v>
      </c>
      <c r="I13" s="156">
        <f t="shared" si="0"/>
        <v>8.8199999999999985</v>
      </c>
    </row>
    <row r="14" spans="1:9" ht="15.75" x14ac:dyDescent="0.25">
      <c r="A14" s="57" t="s">
        <v>133</v>
      </c>
      <c r="B14" s="57">
        <v>88316</v>
      </c>
      <c r="C14" s="454" t="s">
        <v>600</v>
      </c>
      <c r="D14" s="454"/>
      <c r="E14" s="454"/>
      <c r="F14" s="60" t="s">
        <v>119</v>
      </c>
      <c r="G14" s="155">
        <v>0.5</v>
      </c>
      <c r="H14" s="155">
        <v>11.04</v>
      </c>
      <c r="I14" s="156">
        <f t="shared" si="0"/>
        <v>5.52</v>
      </c>
    </row>
    <row r="15" spans="1:9" ht="16.5" customHeight="1" x14ac:dyDescent="0.25">
      <c r="A15" s="456" t="s">
        <v>50</v>
      </c>
      <c r="B15" s="456"/>
      <c r="C15" s="456"/>
      <c r="D15" s="456"/>
      <c r="E15" s="456"/>
      <c r="F15" s="456"/>
      <c r="G15" s="456"/>
      <c r="H15" s="456"/>
      <c r="I15" s="156">
        <f>SUM(I10:I14)</f>
        <v>73.935999999999993</v>
      </c>
    </row>
    <row r="16" spans="1:9" ht="90" customHeight="1" x14ac:dyDescent="0.25">
      <c r="A16" s="384" t="s">
        <v>597</v>
      </c>
      <c r="B16" s="384"/>
      <c r="C16" s="384"/>
      <c r="D16" s="384"/>
      <c r="E16" s="384"/>
      <c r="F16" s="384"/>
      <c r="G16" s="384"/>
      <c r="H16" s="384"/>
      <c r="I16" s="384"/>
    </row>
    <row r="17" spans="1:9" ht="15" customHeight="1" x14ac:dyDescent="0.25">
      <c r="A17" s="110"/>
      <c r="B17" s="110"/>
      <c r="C17" s="110"/>
      <c r="D17" s="110"/>
      <c r="E17" s="110"/>
      <c r="F17" s="110"/>
      <c r="G17" s="110"/>
      <c r="H17" s="110"/>
      <c r="I17" s="110"/>
    </row>
    <row r="18" spans="1:9" ht="15.75" customHeight="1" x14ac:dyDescent="0.25"/>
    <row r="19" spans="1:9" ht="15.75" customHeight="1" x14ac:dyDescent="0.25"/>
    <row r="20" spans="1:9" ht="15.75" customHeight="1" x14ac:dyDescent="0.25"/>
    <row r="21" spans="1:9" ht="15.75" customHeight="1" x14ac:dyDescent="0.25"/>
    <row r="22" spans="1:9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6"/>
  <sheetViews>
    <sheetView view="pageBreakPreview" zoomScale="70" zoomScaleNormal="70" zoomScaleSheetLayoutView="70" workbookViewId="0">
      <selection activeCell="A7" activeCellId="3" sqref="A2:M2 A3:A6 L3:M6 A7:M35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57" customWidth="1"/>
    <col min="6" max="6" width="8.5703125" style="157" customWidth="1"/>
    <col min="7" max="7" width="21.85546875" style="157" customWidth="1"/>
    <col min="8" max="8" width="7.85546875" style="157" customWidth="1"/>
    <col min="9" max="9" width="20.140625" style="157" customWidth="1"/>
    <col min="10" max="10" width="9.140625" style="157"/>
    <col min="11" max="11" width="19.85546875" style="157" customWidth="1"/>
    <col min="12" max="12" width="9.140625" style="157"/>
    <col min="13" max="13" width="24" style="157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471" t="s">
        <v>806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8.75" x14ac:dyDescent="0.25">
      <c r="A2" s="389" t="s">
        <v>449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3" spans="1:13" x14ac:dyDescent="0.25">
      <c r="A3" s="32" t="s">
        <v>11</v>
      </c>
      <c r="B3" s="463"/>
      <c r="C3" s="464"/>
      <c r="D3" s="464"/>
      <c r="E3" s="464"/>
      <c r="F3" s="464"/>
      <c r="G3" s="464"/>
      <c r="H3" s="464"/>
      <c r="I3" s="464"/>
      <c r="J3" s="464"/>
      <c r="K3" s="465"/>
      <c r="L3" s="472" t="s">
        <v>15</v>
      </c>
      <c r="M3" s="23" t="str">
        <f>'PLANILHA ORÇAMENTÁRIA'!H3</f>
        <v>SINAPI</v>
      </c>
    </row>
    <row r="4" spans="1:13" x14ac:dyDescent="0.25">
      <c r="A4" s="32" t="s">
        <v>12</v>
      </c>
      <c r="B4" s="463"/>
      <c r="C4" s="464"/>
      <c r="D4" s="464"/>
      <c r="E4" s="464"/>
      <c r="F4" s="464"/>
      <c r="G4" s="464"/>
      <c r="H4" s="464"/>
      <c r="I4" s="464"/>
      <c r="J4" s="464"/>
      <c r="K4" s="465"/>
      <c r="L4" s="473"/>
      <c r="M4" s="24" t="str">
        <f>'PLANILHA ORÇAMENTÁRIA'!H4</f>
        <v>AP - Janeiro/2018</v>
      </c>
    </row>
    <row r="5" spans="1:13" x14ac:dyDescent="0.25">
      <c r="A5" s="32" t="s">
        <v>13</v>
      </c>
      <c r="B5" s="463"/>
      <c r="C5" s="464"/>
      <c r="D5" s="464"/>
      <c r="E5" s="464"/>
      <c r="F5" s="464"/>
      <c r="G5" s="464"/>
      <c r="H5" s="464"/>
      <c r="I5" s="464"/>
      <c r="J5" s="464"/>
      <c r="K5" s="465"/>
      <c r="L5" s="474">
        <f>BDI!I23</f>
        <v>0.31126118815198645</v>
      </c>
      <c r="M5" s="23" t="str">
        <f>'PLANILHA ORÇAMENTÁRIA'!H5</f>
        <v>SICRO</v>
      </c>
    </row>
    <row r="6" spans="1:13" x14ac:dyDescent="0.25">
      <c r="A6" s="32" t="s">
        <v>14</v>
      </c>
      <c r="B6" s="463"/>
      <c r="C6" s="464"/>
      <c r="D6" s="464"/>
      <c r="E6" s="464"/>
      <c r="F6" s="464"/>
      <c r="G6" s="464"/>
      <c r="H6" s="464"/>
      <c r="I6" s="464"/>
      <c r="J6" s="464"/>
      <c r="K6" s="465"/>
      <c r="L6" s="475"/>
      <c r="M6" s="24" t="str">
        <f>'PLANILHA ORÇAMENTÁRIA'!H6</f>
        <v>AP - Setembro/2017</v>
      </c>
    </row>
    <row r="7" spans="1:13" x14ac:dyDescent="0.25">
      <c r="A7" s="476"/>
      <c r="B7" s="477"/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</row>
    <row r="8" spans="1:13" x14ac:dyDescent="0.25">
      <c r="A8" s="457" t="s">
        <v>365</v>
      </c>
      <c r="B8" s="457" t="s">
        <v>366</v>
      </c>
      <c r="C8" s="457" t="s">
        <v>367</v>
      </c>
      <c r="D8" s="457"/>
      <c r="E8" s="457" t="s">
        <v>368</v>
      </c>
      <c r="F8" s="457"/>
      <c r="G8" s="457" t="s">
        <v>369</v>
      </c>
      <c r="H8" s="457"/>
      <c r="I8" s="457" t="s">
        <v>370</v>
      </c>
      <c r="J8" s="470"/>
      <c r="K8" s="457" t="s">
        <v>371</v>
      </c>
      <c r="L8" s="470"/>
      <c r="M8" s="457" t="s">
        <v>50</v>
      </c>
    </row>
    <row r="9" spans="1:13" x14ac:dyDescent="0.25">
      <c r="A9" s="457"/>
      <c r="B9" s="457"/>
      <c r="C9" s="457"/>
      <c r="D9" s="457"/>
      <c r="E9" s="457"/>
      <c r="F9" s="457"/>
      <c r="G9" s="457"/>
      <c r="H9" s="457"/>
      <c r="I9" s="470"/>
      <c r="J9" s="470"/>
      <c r="K9" s="470"/>
      <c r="L9" s="470"/>
      <c r="M9" s="470"/>
    </row>
    <row r="10" spans="1:13" x14ac:dyDescent="0.25">
      <c r="A10" s="457"/>
      <c r="B10" s="457"/>
      <c r="C10" s="159" t="s">
        <v>372</v>
      </c>
      <c r="D10" s="159" t="s">
        <v>373</v>
      </c>
      <c r="E10" s="159" t="s">
        <v>372</v>
      </c>
      <c r="F10" s="159" t="s">
        <v>373</v>
      </c>
      <c r="G10" s="159" t="s">
        <v>372</v>
      </c>
      <c r="H10" s="159" t="s">
        <v>373</v>
      </c>
      <c r="I10" s="159" t="s">
        <v>372</v>
      </c>
      <c r="J10" s="159" t="s">
        <v>373</v>
      </c>
      <c r="K10" s="159" t="s">
        <v>372</v>
      </c>
      <c r="L10" s="159" t="s">
        <v>373</v>
      </c>
      <c r="M10" s="159" t="s">
        <v>372</v>
      </c>
    </row>
    <row r="11" spans="1:13" x14ac:dyDescent="0.25">
      <c r="A11" s="23">
        <v>1</v>
      </c>
      <c r="B11" s="22" t="str">
        <f>'[1]PLANILHA ORÇAMENTÁRIA'!C9</f>
        <v>ADMINISTRAÇÃO LOCAL DA OBRA</v>
      </c>
      <c r="C11" s="160" t="e">
        <f>'PLANILHA ORÇAMENTÁRIA'!#REF!</f>
        <v>#REF!</v>
      </c>
      <c r="D11" s="161">
        <v>1</v>
      </c>
      <c r="E11" s="162" t="e">
        <f>$C$11/4</f>
        <v>#REF!</v>
      </c>
      <c r="F11" s="163" t="e">
        <f>E11/$C$11</f>
        <v>#REF!</v>
      </c>
      <c r="G11" s="162" t="e">
        <f>$C$11/4</f>
        <v>#REF!</v>
      </c>
      <c r="H11" s="163" t="e">
        <f>G11/$C$11</f>
        <v>#REF!</v>
      </c>
      <c r="I11" s="162" t="e">
        <f>$C$11/4</f>
        <v>#REF!</v>
      </c>
      <c r="J11" s="163" t="e">
        <f>I11/$C$11</f>
        <v>#REF!</v>
      </c>
      <c r="K11" s="162" t="e">
        <f>$C$11/4</f>
        <v>#REF!</v>
      </c>
      <c r="L11" s="163" t="e">
        <f>K11/$C$11</f>
        <v>#REF!</v>
      </c>
      <c r="M11" s="164" t="e">
        <f>E11+G11+I11+K11</f>
        <v>#REF!</v>
      </c>
    </row>
    <row r="12" spans="1:13" x14ac:dyDescent="0.25">
      <c r="A12" s="23"/>
      <c r="B12" s="22"/>
      <c r="C12" s="95"/>
      <c r="D12" s="165"/>
      <c r="E12" s="466"/>
      <c r="F12" s="467"/>
      <c r="G12" s="466"/>
      <c r="H12" s="467"/>
      <c r="I12" s="466"/>
      <c r="J12" s="467"/>
      <c r="K12" s="466"/>
      <c r="L12" s="467"/>
      <c r="M12" s="166"/>
    </row>
    <row r="13" spans="1:13" x14ac:dyDescent="0.25">
      <c r="A13" s="23">
        <v>2</v>
      </c>
      <c r="B13" s="22" t="str">
        <f>'[1]PLANILHA ORÇAMENTÁRIA'!C12</f>
        <v>MOBILIZAÇÃO E DESMOBILIZAÇÃO DE EQUIPAMENTOS</v>
      </c>
      <c r="C13" s="160" t="e">
        <f>'PLANILHA ORÇAMENTÁRIA'!#REF!</f>
        <v>#REF!</v>
      </c>
      <c r="D13" s="161">
        <v>1</v>
      </c>
      <c r="E13" s="162" t="e">
        <f>$C$13/2</f>
        <v>#REF!</v>
      </c>
      <c r="F13" s="163" t="e">
        <f>E13/$C$13</f>
        <v>#REF!</v>
      </c>
      <c r="G13" s="166"/>
      <c r="H13" s="166"/>
      <c r="I13" s="166"/>
      <c r="J13" s="166"/>
      <c r="K13" s="162" t="e">
        <f>$C$13/2</f>
        <v>#REF!</v>
      </c>
      <c r="L13" s="163" t="e">
        <f>K13/$C$13</f>
        <v>#REF!</v>
      </c>
      <c r="M13" s="164" t="e">
        <f>E13+G13+I13+K13</f>
        <v>#REF!</v>
      </c>
    </row>
    <row r="14" spans="1:13" x14ac:dyDescent="0.25">
      <c r="A14" s="23"/>
      <c r="B14" s="22"/>
      <c r="C14" s="95"/>
      <c r="D14" s="165"/>
      <c r="E14" s="466"/>
      <c r="F14" s="467"/>
      <c r="G14" s="166"/>
      <c r="H14" s="166"/>
      <c r="I14" s="166"/>
      <c r="J14" s="166"/>
      <c r="K14" s="466"/>
      <c r="L14" s="467"/>
      <c r="M14" s="166"/>
    </row>
    <row r="15" spans="1:13" x14ac:dyDescent="0.25">
      <c r="A15" s="23">
        <v>3</v>
      </c>
      <c r="B15" s="22" t="str">
        <f>'[1]PLANILHA ORÇAMENTÁRIA'!C15</f>
        <v>SERVIÇOS PRELIMINARES</v>
      </c>
      <c r="C15" s="160" t="e">
        <f>'PLANILHA ORÇAMENTÁRIA'!#REF!</f>
        <v>#REF!</v>
      </c>
      <c r="D15" s="161">
        <v>1</v>
      </c>
      <c r="E15" s="164" t="e">
        <f>C15</f>
        <v>#REF!</v>
      </c>
      <c r="F15" s="163" t="e">
        <f>E15/$C$15</f>
        <v>#REF!</v>
      </c>
      <c r="G15" s="166"/>
      <c r="H15" s="166"/>
      <c r="I15" s="166"/>
      <c r="J15" s="166"/>
      <c r="K15" s="166"/>
      <c r="L15" s="166"/>
      <c r="M15" s="164" t="e">
        <f>E15+G15+I15+K15</f>
        <v>#REF!</v>
      </c>
    </row>
    <row r="16" spans="1:13" x14ac:dyDescent="0.25">
      <c r="A16" s="23"/>
      <c r="B16" s="22"/>
      <c r="C16" s="95"/>
      <c r="D16" s="165"/>
      <c r="E16" s="466"/>
      <c r="F16" s="467"/>
      <c r="G16" s="166"/>
      <c r="H16" s="166"/>
      <c r="I16" s="166"/>
      <c r="J16" s="166"/>
      <c r="K16" s="166"/>
      <c r="L16" s="166"/>
      <c r="M16" s="166"/>
    </row>
    <row r="17" spans="1:13" x14ac:dyDescent="0.25">
      <c r="A17" s="23">
        <v>4</v>
      </c>
      <c r="B17" s="22" t="str">
        <f>'[1]PLANILHA ORÇAMENTÁRIA'!C30</f>
        <v>TERRAPLANAGEM</v>
      </c>
      <c r="C17" s="160" t="e">
        <f>'PLANILHA ORÇAMENTÁRIA'!#REF!</f>
        <v>#REF!</v>
      </c>
      <c r="D17" s="161">
        <v>1</v>
      </c>
      <c r="E17" s="167" t="e">
        <f>$C$17/3</f>
        <v>#REF!</v>
      </c>
      <c r="F17" s="168" t="e">
        <f>E17/$C$17</f>
        <v>#REF!</v>
      </c>
      <c r="G17" s="167" t="e">
        <f>$C$17/3</f>
        <v>#REF!</v>
      </c>
      <c r="H17" s="168" t="e">
        <f>G17/$C$17</f>
        <v>#REF!</v>
      </c>
      <c r="I17" s="167" t="e">
        <f>$C$17/3</f>
        <v>#REF!</v>
      </c>
      <c r="J17" s="168" t="e">
        <f>I17/$C$17</f>
        <v>#REF!</v>
      </c>
      <c r="K17" s="166"/>
      <c r="L17" s="166"/>
      <c r="M17" s="164" t="e">
        <f>E17+G17+I17+K17</f>
        <v>#REF!</v>
      </c>
    </row>
    <row r="18" spans="1:13" x14ac:dyDescent="0.25">
      <c r="A18" s="23"/>
      <c r="B18" s="22"/>
      <c r="C18" s="95"/>
      <c r="D18" s="165"/>
      <c r="E18" s="466"/>
      <c r="F18" s="467"/>
      <c r="G18" s="466"/>
      <c r="H18" s="467"/>
      <c r="I18" s="466"/>
      <c r="J18" s="467"/>
      <c r="K18" s="166"/>
      <c r="L18" s="166"/>
      <c r="M18" s="166"/>
    </row>
    <row r="19" spans="1:13" x14ac:dyDescent="0.25">
      <c r="A19" s="23">
        <v>5</v>
      </c>
      <c r="B19" s="22" t="str">
        <f>'[1]PLANILHA ORÇAMENTÁRIA'!C43</f>
        <v>PAVIMENTAÇÃO</v>
      </c>
      <c r="C19" s="160" t="e">
        <f>'PLANILHA ORÇAMENTÁRIA'!#REF!</f>
        <v>#REF!</v>
      </c>
      <c r="D19" s="161">
        <v>1</v>
      </c>
      <c r="E19" s="166"/>
      <c r="F19" s="166"/>
      <c r="G19" s="169" t="e">
        <f>$C$19/3</f>
        <v>#REF!</v>
      </c>
      <c r="H19" s="170" t="e">
        <f>G19/$C$19</f>
        <v>#REF!</v>
      </c>
      <c r="I19" s="169" t="e">
        <f>$C$19/3</f>
        <v>#REF!</v>
      </c>
      <c r="J19" s="170" t="e">
        <f>I19/$C$19</f>
        <v>#REF!</v>
      </c>
      <c r="K19" s="169" t="e">
        <f>$C$19/3</f>
        <v>#REF!</v>
      </c>
      <c r="L19" s="170" t="e">
        <f>K19/$C$19</f>
        <v>#REF!</v>
      </c>
      <c r="M19" s="164" t="e">
        <f>E19+G19+I19+K19</f>
        <v>#REF!</v>
      </c>
    </row>
    <row r="20" spans="1:13" x14ac:dyDescent="0.25">
      <c r="A20" s="23"/>
      <c r="B20" s="22"/>
      <c r="C20" s="95"/>
      <c r="D20" s="165"/>
      <c r="E20" s="166"/>
      <c r="F20" s="166"/>
      <c r="G20" s="466"/>
      <c r="H20" s="467"/>
      <c r="I20" s="466"/>
      <c r="J20" s="467"/>
      <c r="K20" s="466"/>
      <c r="L20" s="467"/>
      <c r="M20" s="166"/>
    </row>
    <row r="21" spans="1:13" x14ac:dyDescent="0.25">
      <c r="A21" s="23">
        <v>6</v>
      </c>
      <c r="B21" s="22" t="str">
        <f>'[1]PLANILHA ORÇAMENTÁRIA'!C57</f>
        <v>TRANSPORTE</v>
      </c>
      <c r="C21" s="160" t="e">
        <f>'PLANILHA ORÇAMENTÁRIA'!#REF!</f>
        <v>#REF!</v>
      </c>
      <c r="D21" s="161">
        <v>1</v>
      </c>
      <c r="E21" s="169" t="e">
        <f>$C$21/4</f>
        <v>#REF!</v>
      </c>
      <c r="F21" s="168" t="e">
        <f>E21/$C$21</f>
        <v>#REF!</v>
      </c>
      <c r="G21" s="169" t="e">
        <f>$C$21/4</f>
        <v>#REF!</v>
      </c>
      <c r="H21" s="168" t="e">
        <f>G21/$C$21</f>
        <v>#REF!</v>
      </c>
      <c r="I21" s="169" t="e">
        <f>$C$21/4</f>
        <v>#REF!</v>
      </c>
      <c r="J21" s="168" t="e">
        <f>I21/$C$21</f>
        <v>#REF!</v>
      </c>
      <c r="K21" s="169" t="e">
        <f>$C$21/4</f>
        <v>#REF!</v>
      </c>
      <c r="L21" s="168" t="e">
        <f>K21/$C$21</f>
        <v>#REF!</v>
      </c>
      <c r="M21" s="164" t="e">
        <f>E21+G21+I21+K21</f>
        <v>#REF!</v>
      </c>
    </row>
    <row r="22" spans="1:13" x14ac:dyDescent="0.25">
      <c r="A22" s="23"/>
      <c r="B22" s="22"/>
      <c r="C22" s="95"/>
      <c r="D22" s="165"/>
      <c r="E22" s="466"/>
      <c r="F22" s="467"/>
      <c r="G22" s="466"/>
      <c r="H22" s="467"/>
      <c r="I22" s="466"/>
      <c r="J22" s="467"/>
      <c r="K22" s="466"/>
      <c r="L22" s="467"/>
      <c r="M22" s="166"/>
    </row>
    <row r="23" spans="1:13" x14ac:dyDescent="0.25">
      <c r="A23" s="23">
        <v>7</v>
      </c>
      <c r="B23" s="22" t="str">
        <f>'[1]PLANILHA ORÇAMENTÁRIA'!C71</f>
        <v>DRENAGEM SUPERFICIAL - GUIAS E SARJETAS</v>
      </c>
      <c r="C23" s="160" t="e">
        <f>'PLANILHA ORÇAMENTÁRIA'!#REF!</f>
        <v>#REF!</v>
      </c>
      <c r="D23" s="161">
        <v>1</v>
      </c>
      <c r="E23" s="166"/>
      <c r="F23" s="166"/>
      <c r="G23" s="166"/>
      <c r="H23" s="166"/>
      <c r="I23" s="169" t="e">
        <f>$C$23/2</f>
        <v>#REF!</v>
      </c>
      <c r="J23" s="168" t="e">
        <f>I23/$C$23</f>
        <v>#REF!</v>
      </c>
      <c r="K23" s="169" t="e">
        <f>$C$23/2</f>
        <v>#REF!</v>
      </c>
      <c r="L23" s="168" t="e">
        <f>K23/$C$23</f>
        <v>#REF!</v>
      </c>
      <c r="M23" s="164" t="e">
        <f>E23+G23+I23+K23</f>
        <v>#REF!</v>
      </c>
    </row>
    <row r="24" spans="1:13" x14ac:dyDescent="0.25">
      <c r="A24" s="23"/>
      <c r="B24" s="22"/>
      <c r="C24" s="95"/>
      <c r="D24" s="165"/>
      <c r="E24" s="166"/>
      <c r="F24" s="166"/>
      <c r="G24" s="166"/>
      <c r="H24" s="166"/>
      <c r="I24" s="466"/>
      <c r="J24" s="467"/>
      <c r="K24" s="466"/>
      <c r="L24" s="467"/>
      <c r="M24" s="166"/>
    </row>
    <row r="25" spans="1:13" x14ac:dyDescent="0.25">
      <c r="A25" s="23">
        <v>8</v>
      </c>
      <c r="B25" s="22" t="str">
        <f>'[1]PLANILHA ORÇAMENTÁRIA'!C90</f>
        <v>DRENAGEM SUPERFICIAL  - BUEIROS E POÇOS DE VISITAS</v>
      </c>
      <c r="C25" s="160" t="e">
        <f>'PLANILHA ORÇAMENTÁRIA'!#REF!</f>
        <v>#REF!</v>
      </c>
      <c r="D25" s="161">
        <v>1</v>
      </c>
      <c r="E25" s="166"/>
      <c r="F25" s="166"/>
      <c r="G25" s="169" t="e">
        <f>$C$25/2</f>
        <v>#REF!</v>
      </c>
      <c r="H25" s="168" t="e">
        <f>G25/$C$25</f>
        <v>#REF!</v>
      </c>
      <c r="I25" s="169" t="e">
        <f>$C$25/2</f>
        <v>#REF!</v>
      </c>
      <c r="J25" s="168" t="e">
        <f>I25/$C$25</f>
        <v>#REF!</v>
      </c>
      <c r="K25" s="166"/>
      <c r="L25" s="166"/>
      <c r="M25" s="164" t="e">
        <f>E25+G25+I25+K25</f>
        <v>#REF!</v>
      </c>
    </row>
    <row r="26" spans="1:13" x14ac:dyDescent="0.25">
      <c r="A26" s="23"/>
      <c r="B26" s="22"/>
      <c r="C26" s="95"/>
      <c r="D26" s="165"/>
      <c r="E26" s="166"/>
      <c r="F26" s="166"/>
      <c r="G26" s="466"/>
      <c r="H26" s="467"/>
      <c r="I26" s="466"/>
      <c r="J26" s="467"/>
      <c r="K26" s="171"/>
      <c r="L26" s="171"/>
      <c r="M26" s="166"/>
    </row>
    <row r="27" spans="1:13" x14ac:dyDescent="0.25">
      <c r="A27" s="23">
        <v>9</v>
      </c>
      <c r="B27" s="22" t="str">
        <f>'[1]PLANILHA ORÇAMENTÁRIA'!C207</f>
        <v>CALÇADA EM CONCRETO</v>
      </c>
      <c r="C27" s="160" t="e">
        <f>'PLANILHA ORÇAMENTÁRIA'!#REF!</f>
        <v>#REF!</v>
      </c>
      <c r="D27" s="161">
        <v>1</v>
      </c>
      <c r="E27" s="166"/>
      <c r="F27" s="166"/>
      <c r="G27" s="166"/>
      <c r="H27" s="166"/>
      <c r="I27" s="166"/>
      <c r="J27" s="166"/>
      <c r="K27" s="164" t="e">
        <f>C27</f>
        <v>#REF!</v>
      </c>
      <c r="L27" s="163" t="e">
        <f>K27/$C$27</f>
        <v>#REF!</v>
      </c>
      <c r="M27" s="164" t="e">
        <f>E27+G27+I27+K27</f>
        <v>#REF!</v>
      </c>
    </row>
    <row r="28" spans="1:13" x14ac:dyDescent="0.25">
      <c r="A28" s="23"/>
      <c r="B28" s="22"/>
      <c r="C28" s="95"/>
      <c r="D28" s="165"/>
      <c r="E28" s="166"/>
      <c r="F28" s="166"/>
      <c r="G28" s="166"/>
      <c r="H28" s="166"/>
      <c r="I28" s="166"/>
      <c r="J28" s="166"/>
      <c r="K28" s="466"/>
      <c r="L28" s="467"/>
      <c r="M28" s="166"/>
    </row>
    <row r="29" spans="1:13" x14ac:dyDescent="0.25">
      <c r="A29" s="23">
        <v>10</v>
      </c>
      <c r="B29" s="22" t="str">
        <f>'[1]PLANILHA ORÇAMENTÁRIA'!C214</f>
        <v>SINALIZAÇÃO VIÁRIA</v>
      </c>
      <c r="C29" s="160" t="e">
        <f>'PLANILHA ORÇAMENTÁRIA'!#REF!</f>
        <v>#REF!</v>
      </c>
      <c r="D29" s="161">
        <v>1</v>
      </c>
      <c r="E29" s="166"/>
      <c r="F29" s="166"/>
      <c r="G29" s="166"/>
      <c r="H29" s="166"/>
      <c r="I29" s="166"/>
      <c r="J29" s="166"/>
      <c r="K29" s="164" t="e">
        <f>C29</f>
        <v>#REF!</v>
      </c>
      <c r="L29" s="163" t="e">
        <f>K29/$C$29</f>
        <v>#REF!</v>
      </c>
      <c r="M29" s="164" t="e">
        <f>E29+G29+I29+K29</f>
        <v>#REF!</v>
      </c>
    </row>
    <row r="30" spans="1:13" x14ac:dyDescent="0.25">
      <c r="A30" s="23"/>
      <c r="B30" s="22"/>
      <c r="C30" s="95"/>
      <c r="D30" s="165"/>
      <c r="E30" s="166"/>
      <c r="F30" s="166"/>
      <c r="G30" s="166"/>
      <c r="H30" s="166"/>
      <c r="I30" s="166"/>
      <c r="J30" s="166"/>
      <c r="K30" s="466"/>
      <c r="L30" s="467"/>
      <c r="M30" s="166"/>
    </row>
    <row r="31" spans="1:13" x14ac:dyDescent="0.25">
      <c r="A31" s="23">
        <v>11</v>
      </c>
      <c r="B31" s="22" t="str">
        <f>'[1]PLANILHA ORÇAMENTÁRIA'!C218</f>
        <v>IDENTIFICAÇÃO VIÁRIA</v>
      </c>
      <c r="C31" s="160" t="e">
        <f>'PLANILHA ORÇAMENTÁRIA'!#REF!</f>
        <v>#REF!</v>
      </c>
      <c r="D31" s="161">
        <v>1</v>
      </c>
      <c r="E31" s="166"/>
      <c r="F31" s="166"/>
      <c r="G31" s="166"/>
      <c r="H31" s="166"/>
      <c r="I31" s="166"/>
      <c r="J31" s="166"/>
      <c r="K31" s="164" t="e">
        <f>C31</f>
        <v>#REF!</v>
      </c>
      <c r="L31" s="163" t="e">
        <f>K31/$C$31</f>
        <v>#REF!</v>
      </c>
      <c r="M31" s="164" t="e">
        <f>E31+G31+I31+K31</f>
        <v>#REF!</v>
      </c>
    </row>
    <row r="32" spans="1:13" x14ac:dyDescent="0.25">
      <c r="A32" s="172"/>
      <c r="B32" s="172"/>
      <c r="C32" s="172"/>
      <c r="D32" s="172"/>
      <c r="E32" s="23"/>
      <c r="F32" s="23"/>
      <c r="G32" s="23"/>
      <c r="H32" s="23"/>
      <c r="I32" s="23"/>
      <c r="J32" s="23"/>
      <c r="K32" s="468"/>
      <c r="L32" s="469"/>
      <c r="M32" s="23"/>
    </row>
    <row r="33" spans="1:13" x14ac:dyDescent="0.25">
      <c r="A33" s="459" t="s">
        <v>374</v>
      </c>
      <c r="B33" s="460"/>
      <c r="C33" s="460"/>
      <c r="D33" s="461"/>
      <c r="E33" s="173" t="e">
        <f>E11+E13+E15+E17+E19+E21+E23+E25+E27+E29+E31</f>
        <v>#REF!</v>
      </c>
      <c r="F33" s="173"/>
      <c r="G33" s="173" t="e">
        <f>G11+G13+G15+G17+G19+G21+G23+G25+G27+G29+G31</f>
        <v>#REF!</v>
      </c>
      <c r="H33" s="173"/>
      <c r="I33" s="173" t="e">
        <f>I11+I13+I15+I17+I19+I21+I23+I25+I27+I29+I31</f>
        <v>#REF!</v>
      </c>
      <c r="J33" s="173"/>
      <c r="K33" s="173" t="e">
        <f>K11+K13+K15+K17+K19+K21+K23+K25+K27+K29+K31</f>
        <v>#REF!</v>
      </c>
      <c r="L33" s="173"/>
      <c r="M33" s="173" t="e">
        <f>M11+M13+M15+M17+M19+M21+M23+M25+M27+M29+M31</f>
        <v>#REF!</v>
      </c>
    </row>
    <row r="34" spans="1:13" x14ac:dyDescent="0.25">
      <c r="A34" s="459" t="s">
        <v>375</v>
      </c>
      <c r="B34" s="460"/>
      <c r="C34" s="460"/>
      <c r="D34" s="461"/>
      <c r="E34" s="173" t="e">
        <f>E33</f>
        <v>#REF!</v>
      </c>
      <c r="F34" s="173"/>
      <c r="G34" s="173" t="e">
        <f>G33+E34</f>
        <v>#REF!</v>
      </c>
      <c r="H34" s="173"/>
      <c r="I34" s="173" t="e">
        <f>I33+G34</f>
        <v>#REF!</v>
      </c>
      <c r="J34" s="173"/>
      <c r="K34" s="173" t="e">
        <f>K33+I34</f>
        <v>#REF!</v>
      </c>
      <c r="L34" s="173"/>
      <c r="M34" s="173" t="e">
        <f>M33</f>
        <v>#REF!</v>
      </c>
    </row>
    <row r="35" spans="1:13" ht="90" customHeight="1" x14ac:dyDescent="0.25">
      <c r="A35" s="462" t="s">
        <v>597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</row>
    <row r="36" spans="1:13" ht="15" customHeight="1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</row>
  </sheetData>
  <sheetProtection password="F990" sheet="1" objects="1" scenarios="1"/>
  <mergeCells count="44"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  <mergeCell ref="E12:F12"/>
    <mergeCell ref="G12:H12"/>
    <mergeCell ref="I12:J12"/>
    <mergeCell ref="K12:L12"/>
    <mergeCell ref="E14:F14"/>
    <mergeCell ref="K14:L14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A34:D34"/>
    <mergeCell ref="A33:D33"/>
    <mergeCell ref="A35:M35"/>
    <mergeCell ref="B3:K3"/>
    <mergeCell ref="B4:K4"/>
    <mergeCell ref="B5:K5"/>
    <mergeCell ref="B6:K6"/>
    <mergeCell ref="K30:L30"/>
    <mergeCell ref="K32:L32"/>
    <mergeCell ref="I24:J24"/>
    <mergeCell ref="K24:L24"/>
    <mergeCell ref="G26:H26"/>
    <mergeCell ref="I26:J26"/>
    <mergeCell ref="K28:L28"/>
    <mergeCell ref="K20:L20"/>
    <mergeCell ref="E22:F22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  <ignoredErrors>
    <ignoredError sqref="C11:C32 E22:F34 G27:H34 I33:I34" evalError="1"/>
    <ignoredError sqref="E11:F21 G11:H26 I11:J25" evalError="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zoomScale="60" zoomScaleNormal="100" workbookViewId="0">
      <selection activeCell="A43" activeCellId="13" sqref="A2:E2 A3:A6 D3:E6 A7:E7 A8:E10 A11:C20 D20:E20 A21:E21 A22:C31 A32:E33 A34:C38 A39:E40 A41:C42 A43:E45"/>
    </sheetView>
  </sheetViews>
  <sheetFormatPr defaultRowHeight="15" x14ac:dyDescent="0.25"/>
  <cols>
    <col min="1" max="1" width="12.71093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90" customHeight="1" x14ac:dyDescent="0.25">
      <c r="A1" s="487" t="s">
        <v>806</v>
      </c>
      <c r="B1" s="488"/>
      <c r="C1" s="488"/>
      <c r="D1" s="488"/>
      <c r="E1" s="488"/>
    </row>
    <row r="2" spans="1:5" ht="18.75" x14ac:dyDescent="0.25">
      <c r="A2" s="489" t="s">
        <v>486</v>
      </c>
      <c r="B2" s="489"/>
      <c r="C2" s="489"/>
      <c r="D2" s="489"/>
      <c r="E2" s="489"/>
    </row>
    <row r="3" spans="1:5" x14ac:dyDescent="0.25">
      <c r="A3" s="32" t="s">
        <v>11</v>
      </c>
      <c r="B3" s="390"/>
      <c r="C3" s="390"/>
      <c r="D3" s="392" t="s">
        <v>15</v>
      </c>
      <c r="E3" s="23" t="str">
        <f>'PLANILHA ORÇAMENTÁRIA'!H3</f>
        <v>SINAPI</v>
      </c>
    </row>
    <row r="4" spans="1:5" x14ac:dyDescent="0.25">
      <c r="A4" s="32" t="s">
        <v>12</v>
      </c>
      <c r="B4" s="390"/>
      <c r="C4" s="390"/>
      <c r="D4" s="392"/>
      <c r="E4" s="24" t="str">
        <f>'PLANILHA ORÇAMENTÁRIA'!H4</f>
        <v>AP - Janeiro/2018</v>
      </c>
    </row>
    <row r="5" spans="1:5" x14ac:dyDescent="0.25">
      <c r="A5" s="32" t="s">
        <v>13</v>
      </c>
      <c r="B5" s="390"/>
      <c r="C5" s="390"/>
      <c r="D5" s="397">
        <f>BDI!I23</f>
        <v>0.31126118815198645</v>
      </c>
      <c r="E5" s="23" t="str">
        <f>'PLANILHA ORÇAMENTÁRIA'!H5</f>
        <v>SICRO</v>
      </c>
    </row>
    <row r="6" spans="1:5" ht="24.75" customHeight="1" x14ac:dyDescent="0.25">
      <c r="A6" s="32" t="s">
        <v>14</v>
      </c>
      <c r="B6" s="390"/>
      <c r="C6" s="390"/>
      <c r="D6" s="397"/>
      <c r="E6" s="24" t="str">
        <f>'PLANILHA ORÇAMENTÁRIA'!H6</f>
        <v>AP - Setembro/2017</v>
      </c>
    </row>
    <row r="7" spans="1:5" x14ac:dyDescent="0.25">
      <c r="A7" s="457" t="s">
        <v>487</v>
      </c>
      <c r="B7" s="457"/>
      <c r="C7" s="457"/>
      <c r="D7" s="457"/>
      <c r="E7" s="457"/>
    </row>
    <row r="8" spans="1:5" ht="15" customHeight="1" x14ac:dyDescent="0.25">
      <c r="A8" s="482" t="s">
        <v>1</v>
      </c>
      <c r="B8" s="482" t="s">
        <v>488</v>
      </c>
      <c r="C8" s="25"/>
      <c r="D8" s="482" t="s">
        <v>489</v>
      </c>
      <c r="E8" s="482"/>
    </row>
    <row r="9" spans="1:5" x14ac:dyDescent="0.25">
      <c r="A9" s="482"/>
      <c r="B9" s="482"/>
      <c r="C9" s="25"/>
      <c r="D9" s="25" t="s">
        <v>490</v>
      </c>
      <c r="E9" s="25" t="s">
        <v>491</v>
      </c>
    </row>
    <row r="10" spans="1:5" x14ac:dyDescent="0.25">
      <c r="A10" s="483" t="s">
        <v>492</v>
      </c>
      <c r="B10" s="484"/>
      <c r="C10" s="484"/>
      <c r="D10" s="484"/>
      <c r="E10" s="484"/>
    </row>
    <row r="11" spans="1:5" x14ac:dyDescent="0.25">
      <c r="A11" s="178" t="s">
        <v>493</v>
      </c>
      <c r="B11" s="480" t="s">
        <v>494</v>
      </c>
      <c r="C11" s="481"/>
      <c r="D11" s="174"/>
      <c r="E11" s="174"/>
    </row>
    <row r="12" spans="1:5" x14ac:dyDescent="0.25">
      <c r="A12" s="178" t="s">
        <v>495</v>
      </c>
      <c r="B12" s="480" t="s">
        <v>496</v>
      </c>
      <c r="C12" s="481"/>
      <c r="D12" s="174"/>
      <c r="E12" s="174"/>
    </row>
    <row r="13" spans="1:5" x14ac:dyDescent="0.25">
      <c r="A13" s="178" t="s">
        <v>497</v>
      </c>
      <c r="B13" s="480" t="s">
        <v>498</v>
      </c>
      <c r="C13" s="481"/>
      <c r="D13" s="174"/>
      <c r="E13" s="174"/>
    </row>
    <row r="14" spans="1:5" x14ac:dyDescent="0.25">
      <c r="A14" s="178" t="s">
        <v>499</v>
      </c>
      <c r="B14" s="480" t="s">
        <v>500</v>
      </c>
      <c r="C14" s="481"/>
      <c r="D14" s="174"/>
      <c r="E14" s="174"/>
    </row>
    <row r="15" spans="1:5" x14ac:dyDescent="0.25">
      <c r="A15" s="178" t="s">
        <v>501</v>
      </c>
      <c r="B15" s="480" t="s">
        <v>502</v>
      </c>
      <c r="C15" s="481"/>
      <c r="D15" s="174"/>
      <c r="E15" s="174"/>
    </row>
    <row r="16" spans="1:5" x14ac:dyDescent="0.25">
      <c r="A16" s="178" t="s">
        <v>503</v>
      </c>
      <c r="B16" s="480" t="s">
        <v>504</v>
      </c>
      <c r="C16" s="481"/>
      <c r="D16" s="174"/>
      <c r="E16" s="174"/>
    </row>
    <row r="17" spans="1:5" x14ac:dyDescent="0.25">
      <c r="A17" s="178" t="s">
        <v>505</v>
      </c>
      <c r="B17" s="480" t="s">
        <v>506</v>
      </c>
      <c r="C17" s="481"/>
      <c r="D17" s="174"/>
      <c r="E17" s="174"/>
    </row>
    <row r="18" spans="1:5" x14ac:dyDescent="0.25">
      <c r="A18" s="178" t="s">
        <v>507</v>
      </c>
      <c r="B18" s="480" t="s">
        <v>508</v>
      </c>
      <c r="C18" s="481"/>
      <c r="D18" s="174"/>
      <c r="E18" s="174"/>
    </row>
    <row r="19" spans="1:5" x14ac:dyDescent="0.25">
      <c r="A19" s="178" t="s">
        <v>509</v>
      </c>
      <c r="B19" s="480" t="s">
        <v>510</v>
      </c>
      <c r="C19" s="481"/>
      <c r="D19" s="174"/>
      <c r="E19" s="174"/>
    </row>
    <row r="20" spans="1:5" ht="15.75" thickBot="1" x14ac:dyDescent="0.3">
      <c r="A20" s="25" t="s">
        <v>511</v>
      </c>
      <c r="B20" s="25" t="s">
        <v>512</v>
      </c>
      <c r="C20" s="25"/>
      <c r="D20" s="179">
        <f>SUM(D11:D19)</f>
        <v>0</v>
      </c>
      <c r="E20" s="179">
        <f>SUM(E11:E19)</f>
        <v>0</v>
      </c>
    </row>
    <row r="21" spans="1:5" x14ac:dyDescent="0.25">
      <c r="A21" s="485" t="s">
        <v>513</v>
      </c>
      <c r="B21" s="486"/>
      <c r="C21" s="486"/>
      <c r="D21" s="486"/>
      <c r="E21" s="486"/>
    </row>
    <row r="22" spans="1:5" x14ac:dyDescent="0.25">
      <c r="A22" s="178" t="s">
        <v>514</v>
      </c>
      <c r="B22" s="480" t="s">
        <v>515</v>
      </c>
      <c r="C22" s="481"/>
      <c r="D22" s="174"/>
      <c r="E22" s="175"/>
    </row>
    <row r="23" spans="1:5" x14ac:dyDescent="0.25">
      <c r="A23" s="178" t="s">
        <v>516</v>
      </c>
      <c r="B23" s="480" t="s">
        <v>517</v>
      </c>
      <c r="C23" s="481"/>
      <c r="D23" s="174"/>
      <c r="E23" s="175"/>
    </row>
    <row r="24" spans="1:5" x14ac:dyDescent="0.25">
      <c r="A24" s="178" t="s">
        <v>518</v>
      </c>
      <c r="B24" s="480" t="s">
        <v>519</v>
      </c>
      <c r="C24" s="481"/>
      <c r="D24" s="174"/>
      <c r="E24" s="174"/>
    </row>
    <row r="25" spans="1:5" x14ac:dyDescent="0.25">
      <c r="A25" s="178" t="s">
        <v>520</v>
      </c>
      <c r="B25" s="480" t="s">
        <v>521</v>
      </c>
      <c r="C25" s="481"/>
      <c r="D25" s="174"/>
      <c r="E25" s="174"/>
    </row>
    <row r="26" spans="1:5" x14ac:dyDescent="0.25">
      <c r="A26" s="178" t="s">
        <v>522</v>
      </c>
      <c r="B26" s="480" t="s">
        <v>523</v>
      </c>
      <c r="C26" s="481"/>
      <c r="D26" s="174"/>
      <c r="E26" s="174"/>
    </row>
    <row r="27" spans="1:5" x14ac:dyDescent="0.25">
      <c r="A27" s="178" t="s">
        <v>524</v>
      </c>
      <c r="B27" s="480" t="s">
        <v>525</v>
      </c>
      <c r="C27" s="481"/>
      <c r="D27" s="174"/>
      <c r="E27" s="174"/>
    </row>
    <row r="28" spans="1:5" x14ac:dyDescent="0.25">
      <c r="A28" s="178" t="s">
        <v>526</v>
      </c>
      <c r="B28" s="480" t="s">
        <v>527</v>
      </c>
      <c r="C28" s="481"/>
      <c r="D28" s="174"/>
      <c r="E28" s="175"/>
    </row>
    <row r="29" spans="1:5" x14ac:dyDescent="0.25">
      <c r="A29" s="178" t="s">
        <v>528</v>
      </c>
      <c r="B29" s="480" t="s">
        <v>529</v>
      </c>
      <c r="C29" s="481"/>
      <c r="D29" s="174"/>
      <c r="E29" s="174"/>
    </row>
    <row r="30" spans="1:5" x14ac:dyDescent="0.25">
      <c r="A30" s="178" t="s">
        <v>530</v>
      </c>
      <c r="B30" s="480" t="s">
        <v>531</v>
      </c>
      <c r="C30" s="481"/>
      <c r="D30" s="174"/>
      <c r="E30" s="174"/>
    </row>
    <row r="31" spans="1:5" x14ac:dyDescent="0.25">
      <c r="A31" s="178" t="s">
        <v>532</v>
      </c>
      <c r="B31" s="480" t="s">
        <v>533</v>
      </c>
      <c r="C31" s="481"/>
      <c r="D31" s="174"/>
      <c r="E31" s="174"/>
    </row>
    <row r="32" spans="1:5" ht="15.75" thickBot="1" x14ac:dyDescent="0.3">
      <c r="A32" s="25" t="s">
        <v>534</v>
      </c>
      <c r="B32" s="25" t="s">
        <v>512</v>
      </c>
      <c r="C32" s="25"/>
      <c r="D32" s="179">
        <f>SUM(D22:D31)</f>
        <v>0</v>
      </c>
      <c r="E32" s="179">
        <f>SUM(E22:E31)</f>
        <v>0</v>
      </c>
    </row>
    <row r="33" spans="1:9" x14ac:dyDescent="0.25">
      <c r="A33" s="485" t="s">
        <v>535</v>
      </c>
      <c r="B33" s="486"/>
      <c r="C33" s="486"/>
      <c r="D33" s="486"/>
      <c r="E33" s="486"/>
    </row>
    <row r="34" spans="1:9" x14ac:dyDescent="0.25">
      <c r="A34" s="180" t="s">
        <v>536</v>
      </c>
      <c r="B34" s="480" t="s">
        <v>537</v>
      </c>
      <c r="C34" s="481"/>
      <c r="D34" s="176"/>
      <c r="E34" s="176"/>
    </row>
    <row r="35" spans="1:9" x14ac:dyDescent="0.25">
      <c r="A35" s="178" t="s">
        <v>538</v>
      </c>
      <c r="B35" s="480" t="s">
        <v>539</v>
      </c>
      <c r="C35" s="481"/>
      <c r="D35" s="174"/>
      <c r="E35" s="174"/>
    </row>
    <row r="36" spans="1:9" x14ac:dyDescent="0.25">
      <c r="A36" s="178" t="s">
        <v>540</v>
      </c>
      <c r="B36" s="480" t="s">
        <v>541</v>
      </c>
      <c r="C36" s="481"/>
      <c r="D36" s="174"/>
      <c r="E36" s="174"/>
    </row>
    <row r="37" spans="1:9" x14ac:dyDescent="0.25">
      <c r="A37" s="178" t="s">
        <v>542</v>
      </c>
      <c r="B37" s="480" t="s">
        <v>543</v>
      </c>
      <c r="C37" s="481"/>
      <c r="D37" s="174"/>
      <c r="E37" s="174"/>
    </row>
    <row r="38" spans="1:9" x14ac:dyDescent="0.25">
      <c r="A38" s="178" t="s">
        <v>544</v>
      </c>
      <c r="B38" s="480" t="s">
        <v>545</v>
      </c>
      <c r="C38" s="481"/>
      <c r="D38" s="174"/>
      <c r="E38" s="174"/>
    </row>
    <row r="39" spans="1:9" ht="15.75" thickBot="1" x14ac:dyDescent="0.3">
      <c r="A39" s="25" t="s">
        <v>546</v>
      </c>
      <c r="B39" s="25" t="s">
        <v>512</v>
      </c>
      <c r="C39" s="25"/>
      <c r="D39" s="179">
        <f>SUM(D34:D38)</f>
        <v>0</v>
      </c>
      <c r="E39" s="179">
        <f>SUM(E34:E38)</f>
        <v>0</v>
      </c>
    </row>
    <row r="40" spans="1:9" x14ac:dyDescent="0.25">
      <c r="A40" s="485" t="s">
        <v>547</v>
      </c>
      <c r="B40" s="486"/>
      <c r="C40" s="486"/>
      <c r="D40" s="486"/>
      <c r="E40" s="486"/>
    </row>
    <row r="41" spans="1:9" x14ac:dyDescent="0.25">
      <c r="A41" s="180" t="s">
        <v>548</v>
      </c>
      <c r="B41" s="480" t="s">
        <v>549</v>
      </c>
      <c r="C41" s="481"/>
      <c r="D41" s="176"/>
      <c r="E41" s="176"/>
    </row>
    <row r="42" spans="1:9" ht="37.5" customHeight="1" x14ac:dyDescent="0.25">
      <c r="A42" s="178" t="s">
        <v>550</v>
      </c>
      <c r="B42" s="478" t="s">
        <v>551</v>
      </c>
      <c r="C42" s="479"/>
      <c r="D42" s="177"/>
      <c r="E42" s="177"/>
    </row>
    <row r="43" spans="1:9" ht="15.75" thickBot="1" x14ac:dyDescent="0.3">
      <c r="A43" s="25" t="s">
        <v>552</v>
      </c>
      <c r="B43" s="25" t="s">
        <v>512</v>
      </c>
      <c r="C43" s="25"/>
      <c r="D43" s="179">
        <f>SUM(D41:D42)</f>
        <v>0</v>
      </c>
      <c r="E43" s="179">
        <f>SUM(E41:E42)</f>
        <v>0</v>
      </c>
    </row>
    <row r="44" spans="1:9" x14ac:dyDescent="0.25">
      <c r="A44" s="485" t="s">
        <v>553</v>
      </c>
      <c r="B44" s="486"/>
      <c r="C44" s="181"/>
      <c r="D44" s="182">
        <f>D20+D32+D39+D43</f>
        <v>0</v>
      </c>
      <c r="E44" s="182">
        <f>E20+E32+E39+E43</f>
        <v>0</v>
      </c>
    </row>
    <row r="45" spans="1:9" ht="90" customHeight="1" x14ac:dyDescent="0.25">
      <c r="A45" s="433" t="s">
        <v>597</v>
      </c>
      <c r="B45" s="433"/>
      <c r="C45" s="433"/>
      <c r="D45" s="433"/>
      <c r="E45" s="433"/>
      <c r="F45" s="110"/>
      <c r="G45" s="110"/>
      <c r="H45" s="110"/>
      <c r="I45" s="110"/>
    </row>
    <row r="46" spans="1:9" ht="15" customHeight="1" x14ac:dyDescent="0.25">
      <c r="A46" s="110"/>
      <c r="B46" s="110"/>
      <c r="C46" s="110"/>
      <c r="D46" s="110"/>
      <c r="E46" s="110"/>
      <c r="F46" s="110"/>
      <c r="G46" s="110"/>
      <c r="H46" s="110"/>
      <c r="I46" s="110"/>
    </row>
  </sheetData>
  <sheetProtection password="F990" sheet="1" objects="1" scenarios="1"/>
  <mergeCells count="44">
    <mergeCell ref="A45:E45"/>
    <mergeCell ref="A2:E2"/>
    <mergeCell ref="D3:D4"/>
    <mergeCell ref="D5:D6"/>
    <mergeCell ref="A44:B44"/>
    <mergeCell ref="B19:C19"/>
    <mergeCell ref="B18:C18"/>
    <mergeCell ref="B23:C23"/>
    <mergeCell ref="B24:C24"/>
    <mergeCell ref="B25:C25"/>
    <mergeCell ref="B26:C26"/>
    <mergeCell ref="B13:C13"/>
    <mergeCell ref="B12:C12"/>
    <mergeCell ref="A21:E21"/>
    <mergeCell ref="A33:E33"/>
    <mergeCell ref="B22:C22"/>
    <mergeCell ref="B17:C17"/>
    <mergeCell ref="B16:C16"/>
    <mergeCell ref="B15:C15"/>
    <mergeCell ref="A1:E1"/>
    <mergeCell ref="B14:C14"/>
    <mergeCell ref="B11:C11"/>
    <mergeCell ref="B6:C6"/>
    <mergeCell ref="B5:C5"/>
    <mergeCell ref="B4:C4"/>
    <mergeCell ref="A10:E10"/>
    <mergeCell ref="B3:C3"/>
    <mergeCell ref="A7:E7"/>
    <mergeCell ref="A8:A9"/>
    <mergeCell ref="B8:B9"/>
    <mergeCell ref="D8:E8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A40:E40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303"/>
  <sheetViews>
    <sheetView workbookViewId="0">
      <selection activeCell="A9" sqref="A9:K9"/>
    </sheetView>
  </sheetViews>
  <sheetFormatPr defaultRowHeight="15" x14ac:dyDescent="0.25"/>
  <cols>
    <col min="1" max="1" width="13.7109375" style="2" customWidth="1"/>
    <col min="2" max="2" width="9.140625" style="157"/>
    <col min="3" max="3" width="76.5703125" style="2" bestFit="1" customWidth="1"/>
    <col min="4" max="4" width="9.140625" style="2"/>
    <col min="5" max="5" width="11.28515625" style="157" bestFit="1" customWidth="1"/>
    <col min="6" max="6" width="9.8554687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9.140625" style="2"/>
    <col min="12" max="12" width="12" style="2" bestFit="1" customWidth="1"/>
    <col min="13" max="15" width="9.140625" style="2"/>
    <col min="16" max="16" width="8" style="2" bestFit="1" customWidth="1"/>
    <col min="17" max="17" width="73.85546875" style="2" customWidth="1"/>
    <col min="18" max="18" width="8.5703125" style="2" bestFit="1" customWidth="1"/>
    <col min="19" max="19" width="11.28515625" style="2" bestFit="1" customWidth="1"/>
    <col min="20" max="20" width="9.85546875" style="2" bestFit="1" customWidth="1"/>
    <col min="21" max="21" width="12" style="2" bestFit="1" customWidth="1"/>
    <col min="22" max="22" width="9.85546875" style="2" bestFit="1" customWidth="1"/>
    <col min="23" max="23" width="12" style="2" bestFit="1" customWidth="1"/>
    <col min="24" max="24" width="13.85546875" style="2" bestFit="1" customWidth="1"/>
    <col min="25" max="25" width="10.85546875" style="2" bestFit="1" customWidth="1"/>
    <col min="26" max="16384" width="9.140625" style="2"/>
  </cols>
  <sheetData>
    <row r="1" spans="1:27" ht="15.75" thickBot="1" x14ac:dyDescent="0.3">
      <c r="A1" s="154"/>
      <c r="B1" s="183"/>
      <c r="C1" s="154"/>
      <c r="D1" s="154"/>
      <c r="E1" s="183"/>
      <c r="F1" s="154"/>
      <c r="G1" s="154"/>
      <c r="H1" s="154"/>
      <c r="I1" s="154"/>
      <c r="J1" s="154"/>
      <c r="K1" s="154"/>
      <c r="L1" s="154"/>
      <c r="M1" s="154"/>
      <c r="N1" s="184"/>
      <c r="O1" s="538" t="s">
        <v>688</v>
      </c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154"/>
      <c r="AA1" s="154"/>
    </row>
    <row r="2" spans="1:27" ht="15.75" customHeight="1" thickBot="1" x14ac:dyDescent="0.3">
      <c r="A2" s="497" t="s">
        <v>347</v>
      </c>
      <c r="B2" s="185" t="s">
        <v>17</v>
      </c>
      <c r="C2" s="499" t="s">
        <v>623</v>
      </c>
      <c r="D2" s="497" t="s">
        <v>624</v>
      </c>
      <c r="E2" s="497" t="s">
        <v>625</v>
      </c>
      <c r="F2" s="497" t="s">
        <v>626</v>
      </c>
      <c r="G2" s="497"/>
      <c r="H2" s="497" t="s">
        <v>687</v>
      </c>
      <c r="I2" s="497"/>
      <c r="J2" s="497" t="s">
        <v>628</v>
      </c>
      <c r="K2" s="497"/>
      <c r="L2" s="497" t="s">
        <v>629</v>
      </c>
      <c r="M2" s="154"/>
      <c r="N2" s="154"/>
      <c r="O2" s="497"/>
      <c r="P2" s="185" t="s">
        <v>17</v>
      </c>
      <c r="Q2" s="499" t="s">
        <v>630</v>
      </c>
      <c r="R2" s="497" t="s">
        <v>624</v>
      </c>
      <c r="S2" s="497" t="s">
        <v>625</v>
      </c>
      <c r="T2" s="497" t="s">
        <v>626</v>
      </c>
      <c r="U2" s="497"/>
      <c r="V2" s="497" t="s">
        <v>627</v>
      </c>
      <c r="W2" s="497"/>
      <c r="X2" s="497" t="s">
        <v>628</v>
      </c>
      <c r="Y2" s="497" t="s">
        <v>629</v>
      </c>
      <c r="Z2" s="154"/>
      <c r="AA2" s="154"/>
    </row>
    <row r="3" spans="1:27" x14ac:dyDescent="0.25">
      <c r="A3" s="498"/>
      <c r="B3" s="186">
        <v>5213417</v>
      </c>
      <c r="C3" s="500"/>
      <c r="D3" s="498"/>
      <c r="E3" s="498"/>
      <c r="F3" s="185" t="s">
        <v>631</v>
      </c>
      <c r="G3" s="185" t="s">
        <v>632</v>
      </c>
      <c r="H3" s="185" t="s">
        <v>631</v>
      </c>
      <c r="I3" s="185" t="s">
        <v>632</v>
      </c>
      <c r="J3" s="498"/>
      <c r="K3" s="498"/>
      <c r="L3" s="498"/>
      <c r="M3" s="154"/>
      <c r="N3" s="154"/>
      <c r="O3" s="498"/>
      <c r="P3" s="186">
        <v>5914333</v>
      </c>
      <c r="Q3" s="500"/>
      <c r="R3" s="498"/>
      <c r="S3" s="498"/>
      <c r="T3" s="185" t="s">
        <v>631</v>
      </c>
      <c r="U3" s="185" t="s">
        <v>632</v>
      </c>
      <c r="V3" s="185" t="s">
        <v>631</v>
      </c>
      <c r="W3" s="185" t="s">
        <v>632</v>
      </c>
      <c r="X3" s="498"/>
      <c r="Y3" s="498"/>
      <c r="Z3" s="154"/>
      <c r="AA3" s="154"/>
    </row>
    <row r="4" spans="1:27" ht="15" customHeight="1" x14ac:dyDescent="0.25">
      <c r="A4" s="494" t="s">
        <v>633</v>
      </c>
      <c r="B4" s="215" t="s">
        <v>634</v>
      </c>
      <c r="C4" s="187" t="s">
        <v>635</v>
      </c>
      <c r="D4" s="215" t="s">
        <v>119</v>
      </c>
      <c r="E4" s="215">
        <v>0.48193000000000003</v>
      </c>
      <c r="F4" s="97">
        <v>1</v>
      </c>
      <c r="G4" s="97">
        <v>0</v>
      </c>
      <c r="H4" s="210">
        <v>8.9981000000000009</v>
      </c>
      <c r="I4" s="210">
        <v>5.6654999999999998</v>
      </c>
      <c r="J4" s="490"/>
      <c r="K4" s="491"/>
      <c r="L4" s="215">
        <f>E4*((F4*H4)+(G4*I4))</f>
        <v>4.3364543330000007</v>
      </c>
      <c r="M4" s="154"/>
      <c r="N4" s="154"/>
      <c r="O4" s="494" t="s">
        <v>633</v>
      </c>
      <c r="P4" s="215" t="s">
        <v>636</v>
      </c>
      <c r="Q4" s="187" t="s">
        <v>637</v>
      </c>
      <c r="R4" s="215" t="s">
        <v>119</v>
      </c>
      <c r="S4" s="215">
        <v>1</v>
      </c>
      <c r="T4" s="97">
        <v>0.94</v>
      </c>
      <c r="U4" s="97">
        <v>0.06</v>
      </c>
      <c r="V4" s="210">
        <v>160.66800000000001</v>
      </c>
      <c r="W4" s="210">
        <v>40.731400000000001</v>
      </c>
      <c r="X4" s="188"/>
      <c r="Y4" s="215">
        <f>S4*((T4*V4)+(U4*W4))</f>
        <v>153.47180399999999</v>
      </c>
      <c r="Z4" s="154"/>
      <c r="AA4" s="154"/>
    </row>
    <row r="5" spans="1:27" ht="30" x14ac:dyDescent="0.25">
      <c r="A5" s="496"/>
      <c r="B5" s="215" t="s">
        <v>638</v>
      </c>
      <c r="C5" s="187" t="s">
        <v>639</v>
      </c>
      <c r="D5" s="215" t="s">
        <v>119</v>
      </c>
      <c r="E5" s="215">
        <v>0.15060000000000001</v>
      </c>
      <c r="F5" s="97">
        <v>1</v>
      </c>
      <c r="G5" s="97">
        <v>0</v>
      </c>
      <c r="H5" s="210">
        <v>0.1191</v>
      </c>
      <c r="I5" s="210">
        <v>7.8899999999999998E-2</v>
      </c>
      <c r="J5" s="490"/>
      <c r="K5" s="491"/>
      <c r="L5" s="215">
        <f>E5*((F5*H5)+(G5*I5))</f>
        <v>1.7936460000000001E-2</v>
      </c>
      <c r="M5" s="154"/>
      <c r="N5" s="154"/>
      <c r="O5" s="495"/>
      <c r="P5" s="215" t="s">
        <v>640</v>
      </c>
      <c r="Q5" s="189" t="s">
        <v>641</v>
      </c>
      <c r="R5" s="215" t="s">
        <v>119</v>
      </c>
      <c r="S5" s="215">
        <v>1</v>
      </c>
      <c r="T5" s="97">
        <v>1</v>
      </c>
      <c r="U5" s="97">
        <v>0</v>
      </c>
      <c r="V5" s="210">
        <v>133.2011</v>
      </c>
      <c r="W5" s="210">
        <v>41.296300000000002</v>
      </c>
      <c r="X5" s="188"/>
      <c r="Y5" s="215">
        <f>S5*((T5*V5)+(U5*W5))</f>
        <v>133.2011</v>
      </c>
      <c r="Z5" s="154"/>
      <c r="AA5" s="154"/>
    </row>
    <row r="6" spans="1:27" x14ac:dyDescent="0.25">
      <c r="A6" s="496"/>
      <c r="B6" s="215" t="s">
        <v>642</v>
      </c>
      <c r="C6" s="187" t="s">
        <v>643</v>
      </c>
      <c r="D6" s="215" t="s">
        <v>119</v>
      </c>
      <c r="E6" s="215">
        <v>0.48193000000000003</v>
      </c>
      <c r="F6" s="97">
        <v>1</v>
      </c>
      <c r="G6" s="97">
        <v>0</v>
      </c>
      <c r="H6" s="210">
        <v>8.9977</v>
      </c>
      <c r="I6" s="210">
        <v>2.0013999999999998</v>
      </c>
      <c r="J6" s="490"/>
      <c r="K6" s="491"/>
      <c r="L6" s="215">
        <f>E6*((F6*H6)+(G6*I6))</f>
        <v>4.3362615610000006</v>
      </c>
      <c r="M6" s="154"/>
      <c r="N6" s="154"/>
      <c r="O6" s="492" t="s">
        <v>644</v>
      </c>
      <c r="P6" s="493"/>
      <c r="Q6" s="493"/>
      <c r="R6" s="493"/>
      <c r="S6" s="493"/>
      <c r="T6" s="493"/>
      <c r="U6" s="493"/>
      <c r="V6" s="493"/>
      <c r="W6" s="493"/>
      <c r="X6" s="493"/>
      <c r="Y6" s="190">
        <f>SUM(Y4:Y5)</f>
        <v>286.67290400000002</v>
      </c>
      <c r="Z6" s="154"/>
      <c r="AA6" s="154"/>
    </row>
    <row r="7" spans="1:27" ht="15" customHeight="1" x14ac:dyDescent="0.25">
      <c r="A7" s="496"/>
      <c r="B7" s="215" t="s">
        <v>645</v>
      </c>
      <c r="C7" s="187" t="s">
        <v>646</v>
      </c>
      <c r="D7" s="215" t="s">
        <v>119</v>
      </c>
      <c r="E7" s="215">
        <v>0.20080000000000001</v>
      </c>
      <c r="F7" s="97">
        <v>1</v>
      </c>
      <c r="G7" s="97">
        <v>0</v>
      </c>
      <c r="H7" s="210">
        <v>6.2241999999999997</v>
      </c>
      <c r="I7" s="210">
        <v>3.9470999999999998</v>
      </c>
      <c r="J7" s="490"/>
      <c r="K7" s="491"/>
      <c r="L7" s="215">
        <f>E7*((F7*H7)+(G7*I7))</f>
        <v>1.24981936</v>
      </c>
      <c r="M7" s="154"/>
      <c r="N7" s="154"/>
      <c r="O7" s="494" t="s">
        <v>419</v>
      </c>
      <c r="P7" s="215" t="s">
        <v>647</v>
      </c>
      <c r="Q7" s="187" t="s">
        <v>648</v>
      </c>
      <c r="R7" s="215" t="s">
        <v>119</v>
      </c>
      <c r="S7" s="215">
        <v>2</v>
      </c>
      <c r="T7" s="97"/>
      <c r="U7" s="97"/>
      <c r="V7" s="215"/>
      <c r="W7" s="215"/>
      <c r="X7" s="191">
        <v>13.091200000000001</v>
      </c>
      <c r="Y7" s="215">
        <f>S7*X7</f>
        <v>26.182400000000001</v>
      </c>
      <c r="Z7" s="154"/>
      <c r="AA7" s="154"/>
    </row>
    <row r="8" spans="1:27" x14ac:dyDescent="0.25">
      <c r="A8" s="495"/>
      <c r="B8" s="215" t="s">
        <v>649</v>
      </c>
      <c r="C8" s="187" t="s">
        <v>650</v>
      </c>
      <c r="D8" s="215" t="s">
        <v>119</v>
      </c>
      <c r="E8" s="215">
        <v>0.48193000000000003</v>
      </c>
      <c r="F8" s="97">
        <v>1</v>
      </c>
      <c r="G8" s="97">
        <v>0</v>
      </c>
      <c r="H8" s="210">
        <v>3.6871</v>
      </c>
      <c r="I8" s="210">
        <v>2.3382000000000001</v>
      </c>
      <c r="J8" s="490"/>
      <c r="K8" s="491"/>
      <c r="L8" s="215">
        <f>E8*((F8*H8)+(G8*I8))</f>
        <v>1.776924103</v>
      </c>
      <c r="M8" s="154"/>
      <c r="N8" s="154"/>
      <c r="O8" s="495"/>
      <c r="P8" s="215"/>
      <c r="Q8" s="187"/>
      <c r="R8" s="215"/>
      <c r="S8" s="215"/>
      <c r="T8" s="97"/>
      <c r="U8" s="97"/>
      <c r="V8" s="215"/>
      <c r="W8" s="215"/>
      <c r="X8" s="188"/>
      <c r="Y8" s="215"/>
      <c r="Z8" s="154"/>
      <c r="AA8" s="154"/>
    </row>
    <row r="9" spans="1:27" x14ac:dyDescent="0.25">
      <c r="A9" s="492" t="s">
        <v>644</v>
      </c>
      <c r="B9" s="493"/>
      <c r="C9" s="493"/>
      <c r="D9" s="493"/>
      <c r="E9" s="493"/>
      <c r="F9" s="493"/>
      <c r="G9" s="493"/>
      <c r="H9" s="493"/>
      <c r="I9" s="493"/>
      <c r="J9" s="493"/>
      <c r="K9" s="491"/>
      <c r="L9" s="190">
        <f>SUM(L4:L8)</f>
        <v>11.717395817000002</v>
      </c>
      <c r="M9" s="154"/>
      <c r="N9" s="154"/>
      <c r="O9" s="492" t="s">
        <v>651</v>
      </c>
      <c r="P9" s="493"/>
      <c r="Q9" s="493"/>
      <c r="R9" s="493"/>
      <c r="S9" s="493"/>
      <c r="T9" s="493"/>
      <c r="U9" s="493"/>
      <c r="V9" s="493"/>
      <c r="W9" s="493"/>
      <c r="X9" s="493"/>
      <c r="Y9" s="190">
        <f>SUM(Y7:Y8)</f>
        <v>26.182400000000001</v>
      </c>
      <c r="Z9" s="154"/>
      <c r="AA9" s="154"/>
    </row>
    <row r="10" spans="1:27" x14ac:dyDescent="0.25">
      <c r="A10" s="503" t="s">
        <v>419</v>
      </c>
      <c r="B10" s="215" t="s">
        <v>652</v>
      </c>
      <c r="C10" s="187" t="s">
        <v>653</v>
      </c>
      <c r="D10" s="215" t="s">
        <v>119</v>
      </c>
      <c r="E10" s="97">
        <v>2</v>
      </c>
      <c r="F10" s="215"/>
      <c r="G10" s="215"/>
      <c r="H10" s="215"/>
      <c r="I10" s="215"/>
      <c r="J10" s="501">
        <v>13.3277</v>
      </c>
      <c r="K10" s="502"/>
      <c r="L10" s="215">
        <f>E10*J10</f>
        <v>26.6554</v>
      </c>
      <c r="M10" s="154"/>
      <c r="N10" s="154"/>
      <c r="O10" s="492" t="s">
        <v>654</v>
      </c>
      <c r="P10" s="460"/>
      <c r="Q10" s="460"/>
      <c r="R10" s="460"/>
      <c r="S10" s="460"/>
      <c r="T10" s="460"/>
      <c r="U10" s="460"/>
      <c r="V10" s="460"/>
      <c r="W10" s="460"/>
      <c r="X10" s="460"/>
      <c r="Y10" s="190">
        <f>Y9+Y6</f>
        <v>312.85530400000005</v>
      </c>
      <c r="Z10" s="154"/>
      <c r="AA10" s="154"/>
    </row>
    <row r="11" spans="1:27" ht="15.75" thickBot="1" x14ac:dyDescent="0.3">
      <c r="A11" s="504"/>
      <c r="B11" s="215" t="s">
        <v>655</v>
      </c>
      <c r="C11" s="187" t="s">
        <v>656</v>
      </c>
      <c r="D11" s="215" t="s">
        <v>119</v>
      </c>
      <c r="E11" s="97">
        <v>1</v>
      </c>
      <c r="F11" s="215"/>
      <c r="G11" s="215"/>
      <c r="H11" s="215"/>
      <c r="I11" s="215"/>
      <c r="J11" s="501">
        <v>21.6858</v>
      </c>
      <c r="K11" s="502"/>
      <c r="L11" s="215">
        <f>E11*J11</f>
        <v>21.6858</v>
      </c>
      <c r="M11" s="154"/>
      <c r="N11" s="154"/>
      <c r="O11" s="506" t="s">
        <v>657</v>
      </c>
      <c r="P11" s="507"/>
      <c r="Q11" s="507"/>
      <c r="R11" s="507"/>
      <c r="S11" s="507"/>
      <c r="T11" s="507"/>
      <c r="U11" s="507"/>
      <c r="V11" s="507"/>
      <c r="W11" s="507"/>
      <c r="X11" s="507"/>
      <c r="Y11" s="192">
        <f>Y10/19.06</f>
        <v>16.414234207764956</v>
      </c>
      <c r="Z11" s="154"/>
      <c r="AA11" s="154"/>
    </row>
    <row r="12" spans="1:27" x14ac:dyDescent="0.25">
      <c r="A12" s="504"/>
      <c r="B12" s="215" t="s">
        <v>658</v>
      </c>
      <c r="C12" s="187" t="s">
        <v>659</v>
      </c>
      <c r="D12" s="215" t="s">
        <v>119</v>
      </c>
      <c r="E12" s="97">
        <v>1</v>
      </c>
      <c r="F12" s="215"/>
      <c r="G12" s="215"/>
      <c r="H12" s="215"/>
      <c r="I12" s="215"/>
      <c r="J12" s="501">
        <v>16.839600000000001</v>
      </c>
      <c r="K12" s="502"/>
      <c r="L12" s="215">
        <f>E12*J12</f>
        <v>16.839600000000001</v>
      </c>
      <c r="M12" s="154"/>
      <c r="N12" s="154"/>
      <c r="O12" s="193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54"/>
      <c r="AA12" s="154"/>
    </row>
    <row r="13" spans="1:27" ht="15.75" thickBot="1" x14ac:dyDescent="0.3">
      <c r="A13" s="505"/>
      <c r="B13" s="215" t="s">
        <v>647</v>
      </c>
      <c r="C13" s="187" t="s">
        <v>648</v>
      </c>
      <c r="D13" s="215" t="s">
        <v>119</v>
      </c>
      <c r="E13" s="97">
        <v>2</v>
      </c>
      <c r="F13" s="215"/>
      <c r="G13" s="215"/>
      <c r="H13" s="215"/>
      <c r="I13" s="215"/>
      <c r="J13" s="501">
        <v>13.091200000000001</v>
      </c>
      <c r="K13" s="502"/>
      <c r="L13" s="215">
        <f>E13*J13</f>
        <v>26.182400000000001</v>
      </c>
      <c r="M13" s="154"/>
      <c r="N13" s="154"/>
      <c r="O13" s="193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54"/>
      <c r="AA13" s="154"/>
    </row>
    <row r="14" spans="1:27" ht="15.75" customHeight="1" thickBot="1" x14ac:dyDescent="0.3">
      <c r="A14" s="492" t="s">
        <v>651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1"/>
      <c r="L14" s="190">
        <f>SUM(L10:L13)</f>
        <v>91.363200000000006</v>
      </c>
      <c r="M14" s="154"/>
      <c r="N14" s="154"/>
      <c r="O14" s="497"/>
      <c r="P14" s="185" t="s">
        <v>17</v>
      </c>
      <c r="Q14" s="499" t="s">
        <v>630</v>
      </c>
      <c r="R14" s="497" t="s">
        <v>624</v>
      </c>
      <c r="S14" s="497" t="s">
        <v>625</v>
      </c>
      <c r="T14" s="497" t="s">
        <v>626</v>
      </c>
      <c r="U14" s="497"/>
      <c r="V14" s="497" t="s">
        <v>627</v>
      </c>
      <c r="W14" s="497"/>
      <c r="X14" s="497" t="s">
        <v>628</v>
      </c>
      <c r="Y14" s="497" t="s">
        <v>629</v>
      </c>
      <c r="Z14" s="154"/>
      <c r="AA14" s="154"/>
    </row>
    <row r="15" spans="1:27" x14ac:dyDescent="0.25">
      <c r="A15" s="492" t="s">
        <v>654</v>
      </c>
      <c r="B15" s="460"/>
      <c r="C15" s="460"/>
      <c r="D15" s="460"/>
      <c r="E15" s="460"/>
      <c r="F15" s="460"/>
      <c r="G15" s="460"/>
      <c r="H15" s="460"/>
      <c r="I15" s="460"/>
      <c r="J15" s="460"/>
      <c r="K15" s="461"/>
      <c r="L15" s="190">
        <f>L14+L9</f>
        <v>103.080595817</v>
      </c>
      <c r="M15" s="154"/>
      <c r="N15" s="154"/>
      <c r="O15" s="498"/>
      <c r="P15" s="186">
        <v>5915474</v>
      </c>
      <c r="Q15" s="500"/>
      <c r="R15" s="498"/>
      <c r="S15" s="498"/>
      <c r="T15" s="185" t="s">
        <v>631</v>
      </c>
      <c r="U15" s="185" t="s">
        <v>632</v>
      </c>
      <c r="V15" s="185" t="s">
        <v>631</v>
      </c>
      <c r="W15" s="185" t="s">
        <v>632</v>
      </c>
      <c r="X15" s="498"/>
      <c r="Y15" s="498"/>
      <c r="Z15" s="154"/>
      <c r="AA15" s="154"/>
    </row>
    <row r="16" spans="1:27" ht="15.75" customHeight="1" thickBot="1" x14ac:dyDescent="0.3">
      <c r="A16" s="506" t="s">
        <v>657</v>
      </c>
      <c r="B16" s="507"/>
      <c r="C16" s="507"/>
      <c r="D16" s="507"/>
      <c r="E16" s="507"/>
      <c r="F16" s="507"/>
      <c r="G16" s="507"/>
      <c r="H16" s="507"/>
      <c r="I16" s="507"/>
      <c r="J16" s="507"/>
      <c r="K16" s="513"/>
      <c r="L16" s="192">
        <f>L15/4</f>
        <v>25.770148954250001</v>
      </c>
      <c r="M16" s="154"/>
      <c r="N16" s="154"/>
      <c r="O16" s="494" t="s">
        <v>633</v>
      </c>
      <c r="P16" s="215" t="s">
        <v>660</v>
      </c>
      <c r="Q16" s="187" t="s">
        <v>661</v>
      </c>
      <c r="R16" s="215" t="s">
        <v>119</v>
      </c>
      <c r="S16" s="215">
        <v>1</v>
      </c>
      <c r="T16" s="97">
        <v>1</v>
      </c>
      <c r="U16" s="97">
        <v>0</v>
      </c>
      <c r="V16" s="210">
        <v>106.93049999999999</v>
      </c>
      <c r="W16" s="210">
        <v>33.388800000000003</v>
      </c>
      <c r="X16" s="188"/>
      <c r="Y16" s="215">
        <f>S16*((T16*V16)+(U16*W16))</f>
        <v>106.93049999999999</v>
      </c>
      <c r="Z16" s="154"/>
      <c r="AA16" s="154"/>
    </row>
    <row r="17" spans="1:27" x14ac:dyDescent="0.25">
      <c r="A17" s="514" t="s">
        <v>662</v>
      </c>
      <c r="B17" s="214" t="s">
        <v>663</v>
      </c>
      <c r="C17" s="195" t="s">
        <v>664</v>
      </c>
      <c r="D17" s="214" t="s">
        <v>118</v>
      </c>
      <c r="E17" s="196">
        <v>12.72</v>
      </c>
      <c r="F17" s="195"/>
      <c r="G17" s="195"/>
      <c r="H17" s="195"/>
      <c r="I17" s="195"/>
      <c r="J17" s="515">
        <v>5.7830000000000004</v>
      </c>
      <c r="K17" s="516"/>
      <c r="L17" s="214">
        <f>E17*J17</f>
        <v>73.559760000000011</v>
      </c>
      <c r="M17" s="154"/>
      <c r="N17" s="154"/>
      <c r="O17" s="495"/>
      <c r="P17" s="215"/>
      <c r="Q17" s="189"/>
      <c r="R17" s="215"/>
      <c r="S17" s="215"/>
      <c r="T17" s="97"/>
      <c r="U17" s="97"/>
      <c r="V17" s="215"/>
      <c r="W17" s="215"/>
      <c r="X17" s="188"/>
      <c r="Y17" s="215">
        <f>S17*((T17*V17)+(U17*W17))</f>
        <v>0</v>
      </c>
      <c r="Z17" s="154"/>
      <c r="AA17" s="154"/>
    </row>
    <row r="18" spans="1:27" x14ac:dyDescent="0.25">
      <c r="A18" s="504"/>
      <c r="B18" s="215" t="s">
        <v>665</v>
      </c>
      <c r="C18" s="95" t="s">
        <v>666</v>
      </c>
      <c r="D18" s="215" t="s">
        <v>19</v>
      </c>
      <c r="E18" s="97">
        <v>1</v>
      </c>
      <c r="F18" s="95"/>
      <c r="G18" s="95"/>
      <c r="H18" s="95"/>
      <c r="I18" s="95"/>
      <c r="J18" s="501">
        <v>90.782399999999996</v>
      </c>
      <c r="K18" s="502"/>
      <c r="L18" s="215">
        <f t="shared" ref="L18:L19" si="0">E18*J18</f>
        <v>90.782399999999996</v>
      </c>
      <c r="M18" s="154"/>
      <c r="N18" s="154"/>
      <c r="O18" s="492" t="s">
        <v>644</v>
      </c>
      <c r="P18" s="493"/>
      <c r="Q18" s="493"/>
      <c r="R18" s="493"/>
      <c r="S18" s="493"/>
      <c r="T18" s="493"/>
      <c r="U18" s="493"/>
      <c r="V18" s="493"/>
      <c r="W18" s="493"/>
      <c r="X18" s="493"/>
      <c r="Y18" s="190">
        <f>SUM(Y16:Y17)</f>
        <v>106.93049999999999</v>
      </c>
      <c r="Z18" s="154"/>
      <c r="AA18" s="154"/>
    </row>
    <row r="19" spans="1:27" ht="15" customHeight="1" x14ac:dyDescent="0.25">
      <c r="A19" s="505"/>
      <c r="B19" s="215" t="s">
        <v>667</v>
      </c>
      <c r="C19" s="95" t="s">
        <v>668</v>
      </c>
      <c r="D19" s="215" t="s">
        <v>19</v>
      </c>
      <c r="E19" s="97">
        <v>0.4</v>
      </c>
      <c r="F19" s="95"/>
      <c r="G19" s="95"/>
      <c r="H19" s="95"/>
      <c r="I19" s="95"/>
      <c r="J19" s="501">
        <v>148.5565</v>
      </c>
      <c r="K19" s="502"/>
      <c r="L19" s="215">
        <f t="shared" si="0"/>
        <v>59.422600000000003</v>
      </c>
      <c r="M19" s="154"/>
      <c r="N19" s="154"/>
      <c r="O19" s="494" t="s">
        <v>419</v>
      </c>
      <c r="P19" s="215" t="s">
        <v>647</v>
      </c>
      <c r="Q19" s="187" t="s">
        <v>648</v>
      </c>
      <c r="R19" s="215" t="s">
        <v>119</v>
      </c>
      <c r="S19" s="215">
        <v>4</v>
      </c>
      <c r="T19" s="97"/>
      <c r="U19" s="97"/>
      <c r="V19" s="215"/>
      <c r="W19" s="215"/>
      <c r="X19" s="191">
        <v>13.091200000000001</v>
      </c>
      <c r="Y19" s="215">
        <f>S19*X19</f>
        <v>52.364800000000002</v>
      </c>
      <c r="Z19" s="154"/>
      <c r="AA19" s="154"/>
    </row>
    <row r="20" spans="1:27" ht="15.75" thickBot="1" x14ac:dyDescent="0.3">
      <c r="A20" s="506" t="s">
        <v>669</v>
      </c>
      <c r="B20" s="517"/>
      <c r="C20" s="517"/>
      <c r="D20" s="517"/>
      <c r="E20" s="517"/>
      <c r="F20" s="517"/>
      <c r="G20" s="517"/>
      <c r="H20" s="517"/>
      <c r="I20" s="517"/>
      <c r="J20" s="517"/>
      <c r="K20" s="518"/>
      <c r="L20" s="197">
        <f>SUM(L17:L19)</f>
        <v>223.76476000000002</v>
      </c>
      <c r="M20" s="154"/>
      <c r="N20" s="154"/>
      <c r="O20" s="495"/>
      <c r="P20" s="215"/>
      <c r="Q20" s="187"/>
      <c r="R20" s="215"/>
      <c r="S20" s="215"/>
      <c r="T20" s="97"/>
      <c r="U20" s="97"/>
      <c r="V20" s="215"/>
      <c r="W20" s="215"/>
      <c r="X20" s="188"/>
      <c r="Y20" s="215"/>
      <c r="Z20" s="154"/>
      <c r="AA20" s="154"/>
    </row>
    <row r="21" spans="1:27" ht="30" x14ac:dyDescent="0.25">
      <c r="A21" s="198" t="s">
        <v>670</v>
      </c>
      <c r="B21" s="202">
        <v>5212552</v>
      </c>
      <c r="C21" s="199" t="s">
        <v>671</v>
      </c>
      <c r="D21" s="202" t="s">
        <v>19</v>
      </c>
      <c r="E21" s="200">
        <v>1</v>
      </c>
      <c r="F21" s="201"/>
      <c r="G21" s="201"/>
      <c r="H21" s="201"/>
      <c r="I21" s="201"/>
      <c r="J21" s="511">
        <f>L34</f>
        <v>10.676543607285518</v>
      </c>
      <c r="K21" s="512"/>
      <c r="L21" s="203">
        <f>J21*E21</f>
        <v>10.676543607285518</v>
      </c>
      <c r="M21" s="154"/>
      <c r="N21" s="154"/>
      <c r="O21" s="492" t="s">
        <v>651</v>
      </c>
      <c r="P21" s="493"/>
      <c r="Q21" s="493"/>
      <c r="R21" s="493"/>
      <c r="S21" s="493"/>
      <c r="T21" s="493"/>
      <c r="U21" s="493"/>
      <c r="V21" s="493"/>
      <c r="W21" s="493"/>
      <c r="X21" s="493"/>
      <c r="Y21" s="190">
        <f>SUM(Y19:Y20)</f>
        <v>52.364800000000002</v>
      </c>
      <c r="Z21" s="154"/>
      <c r="AA21" s="154"/>
    </row>
    <row r="22" spans="1:27" ht="30" x14ac:dyDescent="0.25">
      <c r="A22" s="508" t="s">
        <v>633</v>
      </c>
      <c r="B22" s="207" t="s">
        <v>672</v>
      </c>
      <c r="C22" s="204" t="s">
        <v>673</v>
      </c>
      <c r="D22" s="207" t="s">
        <v>119</v>
      </c>
      <c r="E22" s="205">
        <v>1</v>
      </c>
      <c r="F22" s="206">
        <v>1</v>
      </c>
      <c r="G22" s="206">
        <v>0</v>
      </c>
      <c r="H22" s="210">
        <v>37.447600000000001</v>
      </c>
      <c r="I22" s="210">
        <v>32.833100000000002</v>
      </c>
      <c r="J22" s="510"/>
      <c r="K22" s="510"/>
      <c r="L22" s="207">
        <f>E22*((F22*H22)+(G22*I22))</f>
        <v>37.447600000000001</v>
      </c>
      <c r="M22" s="154"/>
      <c r="N22" s="154"/>
      <c r="O22" s="492" t="s">
        <v>654</v>
      </c>
      <c r="P22" s="460"/>
      <c r="Q22" s="460"/>
      <c r="R22" s="460"/>
      <c r="S22" s="460"/>
      <c r="T22" s="460"/>
      <c r="U22" s="460"/>
      <c r="V22" s="460"/>
      <c r="W22" s="460"/>
      <c r="X22" s="460"/>
      <c r="Y22" s="190">
        <f>Y21+Y18</f>
        <v>159.2953</v>
      </c>
      <c r="Z22" s="154"/>
      <c r="AA22" s="154"/>
    </row>
    <row r="23" spans="1:27" ht="15.75" thickBot="1" x14ac:dyDescent="0.3">
      <c r="A23" s="509"/>
      <c r="B23" s="207" t="s">
        <v>642</v>
      </c>
      <c r="C23" s="208" t="s">
        <v>643</v>
      </c>
      <c r="D23" s="207" t="s">
        <v>119</v>
      </c>
      <c r="E23" s="205">
        <v>1</v>
      </c>
      <c r="F23" s="206">
        <v>1</v>
      </c>
      <c r="G23" s="206">
        <v>0</v>
      </c>
      <c r="H23" s="210">
        <v>8.9977</v>
      </c>
      <c r="I23" s="210">
        <v>2.0013999999999998</v>
      </c>
      <c r="J23" s="510"/>
      <c r="K23" s="510"/>
      <c r="L23" s="207">
        <f>E23*((F23*H23)+(G23*I23))</f>
        <v>8.9977</v>
      </c>
      <c r="M23" s="154"/>
      <c r="N23" s="154"/>
      <c r="O23" s="506" t="s">
        <v>657</v>
      </c>
      <c r="P23" s="507"/>
      <c r="Q23" s="507"/>
      <c r="R23" s="507"/>
      <c r="S23" s="507"/>
      <c r="T23" s="507"/>
      <c r="U23" s="507"/>
      <c r="V23" s="507"/>
      <c r="W23" s="507"/>
      <c r="X23" s="507"/>
      <c r="Y23" s="192">
        <f>Y22/7.47</f>
        <v>21.324672021419008</v>
      </c>
      <c r="Z23" s="154"/>
      <c r="AA23" s="154"/>
    </row>
    <row r="24" spans="1:27" x14ac:dyDescent="0.25">
      <c r="A24" s="519" t="s">
        <v>644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3"/>
      <c r="L24" s="209">
        <f>SUM(L22:L23)</f>
        <v>46.445300000000003</v>
      </c>
      <c r="M24" s="154"/>
      <c r="N24" s="154"/>
      <c r="O24" s="193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54"/>
      <c r="AA24" s="154"/>
    </row>
    <row r="25" spans="1:27" ht="15.75" thickBot="1" x14ac:dyDescent="0.3">
      <c r="A25" s="508" t="s">
        <v>419</v>
      </c>
      <c r="B25" s="207" t="s">
        <v>652</v>
      </c>
      <c r="C25" s="208" t="s">
        <v>653</v>
      </c>
      <c r="D25" s="207" t="s">
        <v>119</v>
      </c>
      <c r="E25" s="205">
        <v>1</v>
      </c>
      <c r="F25" s="208"/>
      <c r="G25" s="208"/>
      <c r="H25" s="208"/>
      <c r="I25" s="208"/>
      <c r="J25" s="501">
        <v>13.3277</v>
      </c>
      <c r="K25" s="502"/>
      <c r="L25" s="207">
        <f>E25*J25</f>
        <v>13.3277</v>
      </c>
      <c r="M25" s="154"/>
      <c r="N25" s="154"/>
      <c r="O25" s="193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54"/>
      <c r="AA25" s="154"/>
    </row>
    <row r="26" spans="1:27" ht="15.75" customHeight="1" thickBot="1" x14ac:dyDescent="0.3">
      <c r="A26" s="524"/>
      <c r="B26" s="207" t="s">
        <v>674</v>
      </c>
      <c r="C26" s="208" t="s">
        <v>675</v>
      </c>
      <c r="D26" s="207" t="s">
        <v>119</v>
      </c>
      <c r="E26" s="205">
        <v>1</v>
      </c>
      <c r="F26" s="208"/>
      <c r="G26" s="208"/>
      <c r="H26" s="208"/>
      <c r="I26" s="208"/>
      <c r="J26" s="525">
        <v>18.1678</v>
      </c>
      <c r="K26" s="525"/>
      <c r="L26" s="207">
        <f t="shared" ref="L26:L27" si="1">E26*J26</f>
        <v>18.1678</v>
      </c>
      <c r="M26" s="154"/>
      <c r="N26" s="154"/>
      <c r="O26" s="497"/>
      <c r="P26" s="185" t="s">
        <v>17</v>
      </c>
      <c r="Q26" s="499" t="s">
        <v>630</v>
      </c>
      <c r="R26" s="497" t="s">
        <v>624</v>
      </c>
      <c r="S26" s="497" t="s">
        <v>625</v>
      </c>
      <c r="T26" s="497" t="s">
        <v>626</v>
      </c>
      <c r="U26" s="497"/>
      <c r="V26" s="497" t="s">
        <v>627</v>
      </c>
      <c r="W26" s="497"/>
      <c r="X26" s="497" t="s">
        <v>628</v>
      </c>
      <c r="Y26" s="497" t="s">
        <v>629</v>
      </c>
      <c r="Z26" s="154"/>
      <c r="AA26" s="154"/>
    </row>
    <row r="27" spans="1:27" x14ac:dyDescent="0.25">
      <c r="A27" s="509"/>
      <c r="B27" s="207" t="s">
        <v>647</v>
      </c>
      <c r="C27" s="208" t="s">
        <v>648</v>
      </c>
      <c r="D27" s="207" t="s">
        <v>119</v>
      </c>
      <c r="E27" s="205">
        <v>1</v>
      </c>
      <c r="F27" s="208"/>
      <c r="G27" s="208"/>
      <c r="H27" s="208"/>
      <c r="I27" s="208"/>
      <c r="J27" s="501">
        <v>13.091200000000001</v>
      </c>
      <c r="K27" s="502"/>
      <c r="L27" s="207">
        <f t="shared" si="1"/>
        <v>13.091200000000001</v>
      </c>
      <c r="M27" s="154"/>
      <c r="N27" s="154"/>
      <c r="O27" s="498"/>
      <c r="P27" s="186">
        <v>5914655</v>
      </c>
      <c r="Q27" s="500"/>
      <c r="R27" s="498"/>
      <c r="S27" s="498"/>
      <c r="T27" s="185" t="s">
        <v>631</v>
      </c>
      <c r="U27" s="185" t="s">
        <v>632</v>
      </c>
      <c r="V27" s="185" t="s">
        <v>631</v>
      </c>
      <c r="W27" s="185" t="s">
        <v>632</v>
      </c>
      <c r="X27" s="498"/>
      <c r="Y27" s="498"/>
      <c r="Z27" s="154"/>
      <c r="AA27" s="154"/>
    </row>
    <row r="28" spans="1:27" ht="15" customHeight="1" x14ac:dyDescent="0.25">
      <c r="A28" s="519" t="s">
        <v>651</v>
      </c>
      <c r="B28" s="522"/>
      <c r="C28" s="522"/>
      <c r="D28" s="522"/>
      <c r="E28" s="522"/>
      <c r="F28" s="522"/>
      <c r="G28" s="522"/>
      <c r="H28" s="522"/>
      <c r="I28" s="522"/>
      <c r="J28" s="522"/>
      <c r="K28" s="523"/>
      <c r="L28" s="209">
        <f>SUM(L25:L27)</f>
        <v>44.5867</v>
      </c>
      <c r="M28" s="154"/>
      <c r="N28" s="154"/>
      <c r="O28" s="494" t="s">
        <v>633</v>
      </c>
      <c r="P28" s="215" t="s">
        <v>636</v>
      </c>
      <c r="Q28" s="187" t="s">
        <v>637</v>
      </c>
      <c r="R28" s="215" t="s">
        <v>119</v>
      </c>
      <c r="S28" s="215">
        <v>1</v>
      </c>
      <c r="T28" s="97">
        <v>1</v>
      </c>
      <c r="U28" s="97">
        <v>0</v>
      </c>
      <c r="V28" s="210">
        <v>160.66800000000001</v>
      </c>
      <c r="W28" s="210">
        <v>40.731400000000001</v>
      </c>
      <c r="X28" s="188"/>
      <c r="Y28" s="215">
        <f>S28*((T28*V28)+(U28*W28))</f>
        <v>160.66800000000001</v>
      </c>
      <c r="Z28" s="154"/>
      <c r="AA28" s="154"/>
    </row>
    <row r="29" spans="1:27" x14ac:dyDescent="0.25">
      <c r="A29" s="519" t="s">
        <v>654</v>
      </c>
      <c r="B29" s="520"/>
      <c r="C29" s="520"/>
      <c r="D29" s="520"/>
      <c r="E29" s="520"/>
      <c r="F29" s="520"/>
      <c r="G29" s="520"/>
      <c r="H29" s="520"/>
      <c r="I29" s="520"/>
      <c r="J29" s="520"/>
      <c r="K29" s="521"/>
      <c r="L29" s="209">
        <f>L28+L24</f>
        <v>91.032000000000011</v>
      </c>
      <c r="M29" s="154"/>
      <c r="N29" s="154"/>
      <c r="O29" s="495"/>
      <c r="P29" s="215"/>
      <c r="Q29" s="189"/>
      <c r="R29" s="215"/>
      <c r="S29" s="215"/>
      <c r="T29" s="97"/>
      <c r="U29" s="97"/>
      <c r="V29" s="215"/>
      <c r="W29" s="215"/>
      <c r="X29" s="188"/>
      <c r="Y29" s="215">
        <f>S29*((T29*V29)+(U29*W29))</f>
        <v>0</v>
      </c>
      <c r="Z29" s="154"/>
      <c r="AA29" s="154"/>
    </row>
    <row r="30" spans="1:27" x14ac:dyDescent="0.25">
      <c r="A30" s="519" t="s">
        <v>657</v>
      </c>
      <c r="B30" s="520"/>
      <c r="C30" s="520"/>
      <c r="D30" s="520"/>
      <c r="E30" s="520"/>
      <c r="F30" s="520"/>
      <c r="G30" s="520"/>
      <c r="H30" s="520"/>
      <c r="I30" s="520"/>
      <c r="J30" s="520"/>
      <c r="K30" s="521"/>
      <c r="L30" s="211">
        <f>L29/9.96</f>
        <v>9.1397590361445786</v>
      </c>
      <c r="M30" s="154"/>
      <c r="N30" s="154"/>
      <c r="O30" s="492" t="s">
        <v>644</v>
      </c>
      <c r="P30" s="493"/>
      <c r="Q30" s="493"/>
      <c r="R30" s="493"/>
      <c r="S30" s="493"/>
      <c r="T30" s="493"/>
      <c r="U30" s="493"/>
      <c r="V30" s="493"/>
      <c r="W30" s="493"/>
      <c r="X30" s="493"/>
      <c r="Y30" s="190">
        <f>SUM(Y28:Y29)</f>
        <v>160.66800000000001</v>
      </c>
      <c r="Z30" s="154"/>
      <c r="AA30" s="154"/>
    </row>
    <row r="31" spans="1:27" ht="15" customHeight="1" x14ac:dyDescent="0.25">
      <c r="A31" s="212" t="s">
        <v>662</v>
      </c>
      <c r="B31" s="207" t="s">
        <v>676</v>
      </c>
      <c r="C31" s="208" t="s">
        <v>677</v>
      </c>
      <c r="D31" s="207" t="s">
        <v>118</v>
      </c>
      <c r="E31" s="207">
        <v>8.4500000000000006E-2</v>
      </c>
      <c r="F31" s="208"/>
      <c r="G31" s="208"/>
      <c r="H31" s="208"/>
      <c r="I31" s="208"/>
      <c r="J31" s="525">
        <v>18.1678</v>
      </c>
      <c r="K31" s="525"/>
      <c r="L31" s="207">
        <f>E31*J31</f>
        <v>1.5351791000000001</v>
      </c>
      <c r="M31" s="154"/>
      <c r="N31" s="154"/>
      <c r="O31" s="494" t="s">
        <v>419</v>
      </c>
      <c r="P31" s="215" t="s">
        <v>647</v>
      </c>
      <c r="Q31" s="187" t="s">
        <v>648</v>
      </c>
      <c r="R31" s="215" t="s">
        <v>119</v>
      </c>
      <c r="S31" s="215">
        <v>6</v>
      </c>
      <c r="T31" s="97"/>
      <c r="U31" s="97"/>
      <c r="V31" s="215"/>
      <c r="W31" s="215"/>
      <c r="X31" s="191">
        <v>13.091200000000001</v>
      </c>
      <c r="Y31" s="215">
        <f>S31*X31</f>
        <v>78.547200000000004</v>
      </c>
      <c r="Z31" s="154"/>
      <c r="AA31" s="154"/>
    </row>
    <row r="32" spans="1:27" x14ac:dyDescent="0.25">
      <c r="A32" s="519" t="s">
        <v>669</v>
      </c>
      <c r="B32" s="522"/>
      <c r="C32" s="522"/>
      <c r="D32" s="522"/>
      <c r="E32" s="522"/>
      <c r="F32" s="522"/>
      <c r="G32" s="522"/>
      <c r="H32" s="522"/>
      <c r="I32" s="522"/>
      <c r="J32" s="522"/>
      <c r="K32" s="523"/>
      <c r="L32" s="209">
        <f>SUM(L31)</f>
        <v>1.5351791000000001</v>
      </c>
      <c r="M32" s="154"/>
      <c r="N32" s="154"/>
      <c r="O32" s="495"/>
      <c r="P32" s="215"/>
      <c r="Q32" s="187"/>
      <c r="R32" s="215"/>
      <c r="S32" s="215"/>
      <c r="T32" s="97"/>
      <c r="U32" s="97"/>
      <c r="V32" s="215"/>
      <c r="W32" s="215"/>
      <c r="X32" s="188"/>
      <c r="Y32" s="215"/>
      <c r="Z32" s="154"/>
      <c r="AA32" s="154"/>
    </row>
    <row r="33" spans="1:27" x14ac:dyDescent="0.25">
      <c r="A33" s="212" t="s">
        <v>678</v>
      </c>
      <c r="B33" s="207" t="s">
        <v>676</v>
      </c>
      <c r="C33" s="208" t="s">
        <v>679</v>
      </c>
      <c r="D33" s="207" t="s">
        <v>680</v>
      </c>
      <c r="E33" s="207">
        <v>8.0000000000000007E-5</v>
      </c>
      <c r="F33" s="208"/>
      <c r="G33" s="208"/>
      <c r="H33" s="208"/>
      <c r="I33" s="208"/>
      <c r="J33" s="535">
        <f>Y35</f>
        <v>20.068389261744969</v>
      </c>
      <c r="K33" s="510"/>
      <c r="L33" s="207">
        <f>E33*J33</f>
        <v>1.6054711409395977E-3</v>
      </c>
      <c r="M33" s="154"/>
      <c r="N33" s="154"/>
      <c r="O33" s="492" t="s">
        <v>651</v>
      </c>
      <c r="P33" s="493"/>
      <c r="Q33" s="493"/>
      <c r="R33" s="493"/>
      <c r="S33" s="493"/>
      <c r="T33" s="493"/>
      <c r="U33" s="493"/>
      <c r="V33" s="493"/>
      <c r="W33" s="493"/>
      <c r="X33" s="493"/>
      <c r="Y33" s="190">
        <f>SUM(Y31:Y32)</f>
        <v>78.547200000000004</v>
      </c>
      <c r="Z33" s="154"/>
      <c r="AA33" s="154"/>
    </row>
    <row r="34" spans="1:27" ht="15.75" thickBot="1" x14ac:dyDescent="0.3">
      <c r="A34" s="536" t="s">
        <v>681</v>
      </c>
      <c r="B34" s="537"/>
      <c r="C34" s="537"/>
      <c r="D34" s="537"/>
      <c r="E34" s="537"/>
      <c r="F34" s="537"/>
      <c r="G34" s="537"/>
      <c r="H34" s="537"/>
      <c r="I34" s="537"/>
      <c r="J34" s="537"/>
      <c r="K34" s="537"/>
      <c r="L34" s="213">
        <f>L33+L32+L30</f>
        <v>10.676543607285518</v>
      </c>
      <c r="M34" s="154"/>
      <c r="N34" s="154"/>
      <c r="O34" s="492" t="s">
        <v>654</v>
      </c>
      <c r="P34" s="460"/>
      <c r="Q34" s="460"/>
      <c r="R34" s="460"/>
      <c r="S34" s="460"/>
      <c r="T34" s="460"/>
      <c r="U34" s="460"/>
      <c r="V34" s="460"/>
      <c r="W34" s="460"/>
      <c r="X34" s="460"/>
      <c r="Y34" s="190">
        <f>Y33+Y30</f>
        <v>239.21520000000001</v>
      </c>
      <c r="Z34" s="154"/>
      <c r="AA34" s="154"/>
    </row>
    <row r="35" spans="1:27" ht="15.75" thickBot="1" x14ac:dyDescent="0.3">
      <c r="A35" s="529" t="s">
        <v>678</v>
      </c>
      <c r="B35" s="214" t="s">
        <v>663</v>
      </c>
      <c r="C35" s="195" t="s">
        <v>682</v>
      </c>
      <c r="D35" s="214" t="s">
        <v>680</v>
      </c>
      <c r="E35" s="214">
        <v>1.272E-2</v>
      </c>
      <c r="F35" s="195"/>
      <c r="G35" s="195"/>
      <c r="H35" s="195"/>
      <c r="I35" s="195"/>
      <c r="J35" s="531">
        <f>Y11</f>
        <v>16.414234207764956</v>
      </c>
      <c r="K35" s="532"/>
      <c r="L35" s="214">
        <f>E35*J35</f>
        <v>0.20878905912277024</v>
      </c>
      <c r="M35" s="154"/>
      <c r="N35" s="154"/>
      <c r="O35" s="506" t="s">
        <v>657</v>
      </c>
      <c r="P35" s="507"/>
      <c r="Q35" s="507"/>
      <c r="R35" s="507"/>
      <c r="S35" s="507"/>
      <c r="T35" s="507"/>
      <c r="U35" s="507"/>
      <c r="V35" s="507"/>
      <c r="W35" s="507"/>
      <c r="X35" s="507"/>
      <c r="Y35" s="192">
        <f>Y34/11.92</f>
        <v>20.068389261744969</v>
      </c>
      <c r="Z35" s="154"/>
      <c r="AA35" s="154"/>
    </row>
    <row r="36" spans="1:27" ht="15.75" thickBot="1" x14ac:dyDescent="0.3">
      <c r="A36" s="530"/>
      <c r="B36" s="215" t="s">
        <v>665</v>
      </c>
      <c r="C36" s="95" t="s">
        <v>683</v>
      </c>
      <c r="D36" s="215" t="s">
        <v>680</v>
      </c>
      <c r="E36" s="215">
        <v>5.4000000000000001E-4</v>
      </c>
      <c r="F36" s="95"/>
      <c r="G36" s="95"/>
      <c r="H36" s="95"/>
      <c r="I36" s="95"/>
      <c r="J36" s="533">
        <f>Y23</f>
        <v>21.324672021419008</v>
      </c>
      <c r="K36" s="534"/>
      <c r="L36" s="215">
        <f t="shared" ref="L36:L37" si="2">E36*J36</f>
        <v>1.1515322891566265E-2</v>
      </c>
      <c r="M36" s="154"/>
      <c r="N36" s="154"/>
      <c r="O36" s="193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54"/>
      <c r="AA36" s="154"/>
    </row>
    <row r="37" spans="1:27" ht="15.75" thickBot="1" x14ac:dyDescent="0.3">
      <c r="A37" s="530"/>
      <c r="B37" s="215" t="s">
        <v>667</v>
      </c>
      <c r="C37" s="95" t="s">
        <v>684</v>
      </c>
      <c r="D37" s="215" t="s">
        <v>680</v>
      </c>
      <c r="E37" s="215">
        <v>1.6000000000000001E-4</v>
      </c>
      <c r="F37" s="95"/>
      <c r="G37" s="95"/>
      <c r="H37" s="95"/>
      <c r="I37" s="95"/>
      <c r="J37" s="533">
        <f>Y23</f>
        <v>21.324672021419008</v>
      </c>
      <c r="K37" s="534"/>
      <c r="L37" s="215">
        <f t="shared" si="2"/>
        <v>3.4119475234270415E-3</v>
      </c>
      <c r="M37" s="154"/>
      <c r="N37" s="154"/>
      <c r="O37" s="497"/>
      <c r="P37" s="185" t="s">
        <v>17</v>
      </c>
      <c r="Q37" s="499" t="s">
        <v>690</v>
      </c>
      <c r="R37" s="497" t="s">
        <v>624</v>
      </c>
      <c r="S37" s="497" t="s">
        <v>625</v>
      </c>
      <c r="T37" s="497" t="s">
        <v>626</v>
      </c>
      <c r="U37" s="497"/>
      <c r="V37" s="497" t="s">
        <v>627</v>
      </c>
      <c r="W37" s="497"/>
      <c r="X37" s="497" t="s">
        <v>628</v>
      </c>
      <c r="Y37" s="497" t="s">
        <v>629</v>
      </c>
      <c r="Z37" s="154"/>
      <c r="AA37" s="154"/>
    </row>
    <row r="38" spans="1:27" ht="15.75" thickBot="1" x14ac:dyDescent="0.3">
      <c r="A38" s="506" t="s">
        <v>685</v>
      </c>
      <c r="B38" s="517"/>
      <c r="C38" s="517"/>
      <c r="D38" s="517"/>
      <c r="E38" s="517"/>
      <c r="F38" s="517"/>
      <c r="G38" s="517"/>
      <c r="H38" s="517"/>
      <c r="I38" s="517"/>
      <c r="J38" s="517"/>
      <c r="K38" s="518"/>
      <c r="L38" s="197">
        <f>SUM(L35:L37)</f>
        <v>0.22371632953776355</v>
      </c>
      <c r="M38" s="154"/>
      <c r="N38" s="154"/>
      <c r="O38" s="498"/>
      <c r="P38" s="186">
        <v>5915476</v>
      </c>
      <c r="Q38" s="540"/>
      <c r="R38" s="498"/>
      <c r="S38" s="498"/>
      <c r="T38" s="185" t="s">
        <v>631</v>
      </c>
      <c r="U38" s="185" t="s">
        <v>632</v>
      </c>
      <c r="V38" s="185" t="s">
        <v>631</v>
      </c>
      <c r="W38" s="185" t="s">
        <v>632</v>
      </c>
      <c r="X38" s="498"/>
      <c r="Y38" s="498"/>
      <c r="Z38" s="154"/>
      <c r="AA38" s="154"/>
    </row>
    <row r="39" spans="1:27" ht="15.75" thickBot="1" x14ac:dyDescent="0.3">
      <c r="A39" s="526" t="s">
        <v>686</v>
      </c>
      <c r="B39" s="527"/>
      <c r="C39" s="527"/>
      <c r="D39" s="527"/>
      <c r="E39" s="527"/>
      <c r="F39" s="527"/>
      <c r="G39" s="527"/>
      <c r="H39" s="527"/>
      <c r="I39" s="527"/>
      <c r="J39" s="527"/>
      <c r="K39" s="528"/>
      <c r="L39" s="216">
        <f>L38+L20+L16+L21</f>
        <v>260.43516889107332</v>
      </c>
      <c r="M39" s="154"/>
      <c r="N39" s="154"/>
      <c r="O39" s="494" t="s">
        <v>633</v>
      </c>
      <c r="P39" s="215" t="s">
        <v>691</v>
      </c>
      <c r="Q39" s="187" t="s">
        <v>692</v>
      </c>
      <c r="R39" s="215" t="s">
        <v>119</v>
      </c>
      <c r="S39" s="215">
        <v>1</v>
      </c>
      <c r="T39" s="97">
        <v>1</v>
      </c>
      <c r="U39" s="97">
        <v>0</v>
      </c>
      <c r="V39" s="217">
        <v>137.4915</v>
      </c>
      <c r="W39" s="217">
        <v>42.721299999999999</v>
      </c>
      <c r="X39" s="188"/>
      <c r="Y39" s="215">
        <f>S39*((T39*V39)+(U39*W39))</f>
        <v>137.4915</v>
      </c>
      <c r="Z39" s="154"/>
      <c r="AA39" s="154"/>
    </row>
    <row r="40" spans="1:27" x14ac:dyDescent="0.25">
      <c r="A40" s="154"/>
      <c r="B40" s="183"/>
      <c r="C40" s="154"/>
      <c r="D40" s="154"/>
      <c r="E40" s="183"/>
      <c r="F40" s="154"/>
      <c r="G40" s="154"/>
      <c r="H40" s="154"/>
      <c r="I40" s="154"/>
      <c r="J40" s="154"/>
      <c r="K40" s="154"/>
      <c r="L40" s="154"/>
      <c r="M40" s="154"/>
      <c r="N40" s="154"/>
      <c r="O40" s="495"/>
      <c r="P40" s="215"/>
      <c r="Q40" s="189"/>
      <c r="R40" s="215"/>
      <c r="S40" s="215"/>
      <c r="T40" s="97"/>
      <c r="U40" s="97"/>
      <c r="V40" s="215"/>
      <c r="W40" s="215"/>
      <c r="X40" s="188"/>
      <c r="Y40" s="215">
        <f>S40*((T40*V40)+(U40*W40))</f>
        <v>0</v>
      </c>
      <c r="Z40" s="154"/>
      <c r="AA40" s="154"/>
    </row>
    <row r="41" spans="1:27" x14ac:dyDescent="0.25">
      <c r="A41" s="154"/>
      <c r="B41" s="183"/>
      <c r="C41" s="154"/>
      <c r="D41" s="154"/>
      <c r="E41" s="183"/>
      <c r="F41" s="154"/>
      <c r="G41" s="154"/>
      <c r="H41" s="154"/>
      <c r="I41" s="154"/>
      <c r="J41" s="154"/>
      <c r="K41" s="154"/>
      <c r="L41" s="154"/>
      <c r="M41" s="154"/>
      <c r="N41" s="154"/>
      <c r="O41" s="492" t="s">
        <v>644</v>
      </c>
      <c r="P41" s="493"/>
      <c r="Q41" s="493"/>
      <c r="R41" s="493"/>
      <c r="S41" s="493"/>
      <c r="T41" s="493"/>
      <c r="U41" s="493"/>
      <c r="V41" s="493"/>
      <c r="W41" s="493"/>
      <c r="X41" s="493"/>
      <c r="Y41" s="190">
        <f>SUM(Y39:Y40)</f>
        <v>137.4915</v>
      </c>
      <c r="Z41" s="154"/>
      <c r="AA41" s="154"/>
    </row>
    <row r="42" spans="1:27" ht="15.75" thickBot="1" x14ac:dyDescent="0.3">
      <c r="A42" s="154"/>
      <c r="B42" s="183"/>
      <c r="C42" s="154"/>
      <c r="D42" s="154"/>
      <c r="E42" s="183"/>
      <c r="F42" s="154"/>
      <c r="G42" s="154"/>
      <c r="H42" s="154"/>
      <c r="I42" s="154"/>
      <c r="J42" s="154"/>
      <c r="K42" s="154"/>
      <c r="L42" s="154"/>
      <c r="M42" s="154"/>
      <c r="N42" s="154"/>
      <c r="O42" s="218"/>
      <c r="P42" s="215" t="s">
        <v>647</v>
      </c>
      <c r="Q42" s="187" t="s">
        <v>648</v>
      </c>
      <c r="R42" s="215" t="s">
        <v>119</v>
      </c>
      <c r="S42" s="215">
        <v>10</v>
      </c>
      <c r="T42" s="97"/>
      <c r="U42" s="97"/>
      <c r="V42" s="215"/>
      <c r="W42" s="215"/>
      <c r="X42" s="191">
        <v>13.091200000000001</v>
      </c>
      <c r="Y42" s="215">
        <f>S42*X42</f>
        <v>130.91200000000001</v>
      </c>
      <c r="Z42" s="154"/>
      <c r="AA42" s="154"/>
    </row>
    <row r="43" spans="1:27" ht="15.75" thickBot="1" x14ac:dyDescent="0.3">
      <c r="A43" s="497" t="s">
        <v>348</v>
      </c>
      <c r="B43" s="185" t="s">
        <v>17</v>
      </c>
      <c r="C43" s="499" t="s">
        <v>693</v>
      </c>
      <c r="D43" s="497" t="s">
        <v>624</v>
      </c>
      <c r="E43" s="497" t="s">
        <v>625</v>
      </c>
      <c r="F43" s="497" t="s">
        <v>626</v>
      </c>
      <c r="G43" s="497"/>
      <c r="H43" s="497" t="s">
        <v>627</v>
      </c>
      <c r="I43" s="497"/>
      <c r="J43" s="497" t="s">
        <v>628</v>
      </c>
      <c r="K43" s="497"/>
      <c r="L43" s="497" t="s">
        <v>629</v>
      </c>
      <c r="M43" s="154"/>
      <c r="N43" s="154"/>
      <c r="O43" s="219"/>
      <c r="P43" s="215"/>
      <c r="Q43" s="187"/>
      <c r="R43" s="215"/>
      <c r="S43" s="215"/>
      <c r="T43" s="97"/>
      <c r="U43" s="97"/>
      <c r="V43" s="215"/>
      <c r="W43" s="215"/>
      <c r="X43" s="188"/>
      <c r="Y43" s="215"/>
      <c r="Z43" s="154"/>
      <c r="AA43" s="154"/>
    </row>
    <row r="44" spans="1:27" x14ac:dyDescent="0.25">
      <c r="A44" s="498"/>
      <c r="B44" s="186">
        <v>5213852</v>
      </c>
      <c r="C44" s="500"/>
      <c r="D44" s="498"/>
      <c r="E44" s="498"/>
      <c r="F44" s="185" t="s">
        <v>631</v>
      </c>
      <c r="G44" s="185" t="s">
        <v>632</v>
      </c>
      <c r="H44" s="185" t="s">
        <v>631</v>
      </c>
      <c r="I44" s="185" t="s">
        <v>632</v>
      </c>
      <c r="J44" s="498"/>
      <c r="K44" s="498"/>
      <c r="L44" s="498"/>
      <c r="M44" s="154"/>
      <c r="N44" s="154"/>
      <c r="O44" s="492" t="s">
        <v>651</v>
      </c>
      <c r="P44" s="493"/>
      <c r="Q44" s="493"/>
      <c r="R44" s="493"/>
      <c r="S44" s="493"/>
      <c r="T44" s="493"/>
      <c r="U44" s="493"/>
      <c r="V44" s="493"/>
      <c r="W44" s="493"/>
      <c r="X44" s="493"/>
      <c r="Y44" s="190">
        <f>SUM(Y42:Y43)</f>
        <v>130.91200000000001</v>
      </c>
      <c r="Z44" s="154"/>
      <c r="AA44" s="154"/>
    </row>
    <row r="45" spans="1:27" x14ac:dyDescent="0.25">
      <c r="A45" s="494" t="s">
        <v>633</v>
      </c>
      <c r="B45" s="215" t="s">
        <v>660</v>
      </c>
      <c r="C45" s="187" t="s">
        <v>694</v>
      </c>
      <c r="D45" s="215" t="s">
        <v>119</v>
      </c>
      <c r="E45" s="215">
        <v>1</v>
      </c>
      <c r="F45" s="97">
        <v>0.3</v>
      </c>
      <c r="G45" s="97">
        <v>0.7</v>
      </c>
      <c r="H45" s="210">
        <v>106.93049999999999</v>
      </c>
      <c r="I45" s="210">
        <v>33.688800000000001</v>
      </c>
      <c r="J45" s="490"/>
      <c r="K45" s="491"/>
      <c r="L45" s="220">
        <f>E45*((F45*H45)+(G45*I45))</f>
        <v>55.66131</v>
      </c>
      <c r="M45" s="154"/>
      <c r="N45" s="154"/>
      <c r="O45" s="492" t="s">
        <v>654</v>
      </c>
      <c r="P45" s="460"/>
      <c r="Q45" s="460"/>
      <c r="R45" s="460"/>
      <c r="S45" s="460"/>
      <c r="T45" s="460"/>
      <c r="U45" s="460"/>
      <c r="V45" s="460"/>
      <c r="W45" s="460"/>
      <c r="X45" s="460"/>
      <c r="Y45" s="190">
        <f>Y44+Y41</f>
        <v>268.40350000000001</v>
      </c>
      <c r="Z45" s="154"/>
      <c r="AA45" s="154"/>
    </row>
    <row r="46" spans="1:27" ht="15.75" thickBot="1" x14ac:dyDescent="0.3">
      <c r="A46" s="496"/>
      <c r="B46" s="215"/>
      <c r="C46" s="187"/>
      <c r="D46" s="215"/>
      <c r="E46" s="215"/>
      <c r="F46" s="97"/>
      <c r="G46" s="97"/>
      <c r="H46" s="215"/>
      <c r="I46" s="215"/>
      <c r="J46" s="490"/>
      <c r="K46" s="491"/>
      <c r="L46" s="220">
        <f>E46*((F46*H46)+(G46*I46))</f>
        <v>0</v>
      </c>
      <c r="M46" s="154"/>
      <c r="N46" s="154"/>
      <c r="O46" s="506" t="s">
        <v>657</v>
      </c>
      <c r="P46" s="507"/>
      <c r="Q46" s="507"/>
      <c r="R46" s="507"/>
      <c r="S46" s="507"/>
      <c r="T46" s="507"/>
      <c r="U46" s="507"/>
      <c r="V46" s="507"/>
      <c r="W46" s="507"/>
      <c r="X46" s="507"/>
      <c r="Y46" s="192">
        <f>Y45/6.04</f>
        <v>44.437665562913907</v>
      </c>
      <c r="Z46" s="154"/>
      <c r="AA46" s="154"/>
    </row>
    <row r="47" spans="1:27" x14ac:dyDescent="0.25">
      <c r="A47" s="496"/>
      <c r="B47" s="215"/>
      <c r="C47" s="187"/>
      <c r="D47" s="215"/>
      <c r="E47" s="215"/>
      <c r="F47" s="97"/>
      <c r="G47" s="97"/>
      <c r="H47" s="215"/>
      <c r="I47" s="215"/>
      <c r="J47" s="490"/>
      <c r="K47" s="491"/>
      <c r="L47" s="220">
        <f>E47*((F47*H47)+(G47*I47))</f>
        <v>0</v>
      </c>
      <c r="M47" s="154"/>
      <c r="N47" s="154"/>
      <c r="O47" s="221"/>
      <c r="P47" s="222"/>
      <c r="Q47" s="222"/>
      <c r="R47" s="222"/>
      <c r="S47" s="222"/>
      <c r="T47" s="222"/>
      <c r="U47" s="222"/>
      <c r="V47" s="222"/>
      <c r="W47" s="222"/>
      <c r="X47" s="222"/>
      <c r="Y47" s="223"/>
      <c r="Z47" s="154"/>
      <c r="AA47" s="154"/>
    </row>
    <row r="48" spans="1:27" x14ac:dyDescent="0.25">
      <c r="A48" s="496"/>
      <c r="B48" s="215"/>
      <c r="C48" s="187"/>
      <c r="D48" s="215"/>
      <c r="E48" s="215"/>
      <c r="F48" s="97"/>
      <c r="G48" s="97"/>
      <c r="H48" s="215"/>
      <c r="I48" s="215"/>
      <c r="J48" s="490"/>
      <c r="K48" s="491"/>
      <c r="L48" s="220">
        <f>E48*((F48*H48)+(G48*I48))</f>
        <v>0</v>
      </c>
      <c r="M48" s="154"/>
      <c r="N48" s="154"/>
      <c r="O48" s="221"/>
      <c r="P48" s="222"/>
      <c r="Q48" s="222"/>
      <c r="R48" s="222"/>
      <c r="S48" s="222"/>
      <c r="T48" s="222"/>
      <c r="U48" s="222"/>
      <c r="V48" s="222"/>
      <c r="W48" s="222"/>
      <c r="X48" s="222"/>
      <c r="Y48" s="223"/>
      <c r="Z48" s="154"/>
      <c r="AA48" s="154"/>
    </row>
    <row r="49" spans="1:27" ht="15.75" thickBot="1" x14ac:dyDescent="0.3">
      <c r="A49" s="495"/>
      <c r="B49" s="215"/>
      <c r="C49" s="187"/>
      <c r="D49" s="215"/>
      <c r="E49" s="215"/>
      <c r="F49" s="97"/>
      <c r="G49" s="97"/>
      <c r="H49" s="215"/>
      <c r="I49" s="215"/>
      <c r="J49" s="490"/>
      <c r="K49" s="491"/>
      <c r="L49" s="220">
        <f>E49*((F49*H49)+(G49*I49))</f>
        <v>0</v>
      </c>
      <c r="M49" s="154"/>
      <c r="N49" s="154"/>
      <c r="O49" s="193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54"/>
      <c r="AA49" s="154"/>
    </row>
    <row r="50" spans="1:27" ht="15.75" thickBot="1" x14ac:dyDescent="0.3">
      <c r="A50" s="492" t="s">
        <v>644</v>
      </c>
      <c r="B50" s="493"/>
      <c r="C50" s="493"/>
      <c r="D50" s="493"/>
      <c r="E50" s="493"/>
      <c r="F50" s="493"/>
      <c r="G50" s="493"/>
      <c r="H50" s="493"/>
      <c r="I50" s="493"/>
      <c r="J50" s="493"/>
      <c r="K50" s="491"/>
      <c r="L50" s="224">
        <f>SUM(L45:L49)</f>
        <v>55.66131</v>
      </c>
      <c r="M50" s="154"/>
      <c r="N50" s="154"/>
      <c r="O50" s="497"/>
      <c r="P50" s="185" t="s">
        <v>17</v>
      </c>
      <c r="Q50" s="499" t="s">
        <v>695</v>
      </c>
      <c r="R50" s="497" t="s">
        <v>624</v>
      </c>
      <c r="S50" s="497" t="s">
        <v>625</v>
      </c>
      <c r="T50" s="497" t="s">
        <v>626</v>
      </c>
      <c r="U50" s="497"/>
      <c r="V50" s="497" t="s">
        <v>627</v>
      </c>
      <c r="W50" s="497"/>
      <c r="X50" s="497" t="s">
        <v>628</v>
      </c>
      <c r="Y50" s="497" t="s">
        <v>629</v>
      </c>
      <c r="Z50" s="154"/>
      <c r="AA50" s="154"/>
    </row>
    <row r="51" spans="1:27" x14ac:dyDescent="0.25">
      <c r="A51" s="503" t="s">
        <v>419</v>
      </c>
      <c r="B51" s="215" t="s">
        <v>658</v>
      </c>
      <c r="C51" s="187" t="s">
        <v>659</v>
      </c>
      <c r="D51" s="215" t="s">
        <v>119</v>
      </c>
      <c r="E51" s="97">
        <v>1</v>
      </c>
      <c r="F51" s="215"/>
      <c r="G51" s="215"/>
      <c r="H51" s="215"/>
      <c r="I51" s="215"/>
      <c r="J51" s="501">
        <v>16.839600000000001</v>
      </c>
      <c r="K51" s="502"/>
      <c r="L51" s="220">
        <f>E51*J51</f>
        <v>16.839600000000001</v>
      </c>
      <c r="M51" s="154"/>
      <c r="N51" s="154"/>
      <c r="O51" s="498"/>
      <c r="P51" s="186">
        <v>5914647</v>
      </c>
      <c r="Q51" s="540"/>
      <c r="R51" s="498"/>
      <c r="S51" s="498"/>
      <c r="T51" s="185" t="s">
        <v>631</v>
      </c>
      <c r="U51" s="185" t="s">
        <v>632</v>
      </c>
      <c r="V51" s="185" t="s">
        <v>631</v>
      </c>
      <c r="W51" s="185" t="s">
        <v>632</v>
      </c>
      <c r="X51" s="498"/>
      <c r="Y51" s="498"/>
      <c r="Z51" s="154"/>
      <c r="AA51" s="154"/>
    </row>
    <row r="52" spans="1:27" x14ac:dyDescent="0.25">
      <c r="A52" s="504"/>
      <c r="B52" s="215" t="s">
        <v>647</v>
      </c>
      <c r="C52" s="187" t="s">
        <v>648</v>
      </c>
      <c r="D52" s="215" t="s">
        <v>119</v>
      </c>
      <c r="E52" s="97">
        <v>1</v>
      </c>
      <c r="F52" s="215"/>
      <c r="G52" s="215"/>
      <c r="H52" s="215"/>
      <c r="I52" s="215"/>
      <c r="J52" s="501">
        <v>13.091200000000001</v>
      </c>
      <c r="K52" s="502"/>
      <c r="L52" s="220">
        <f>E52*J52</f>
        <v>13.091200000000001</v>
      </c>
      <c r="M52" s="154"/>
      <c r="N52" s="154"/>
      <c r="O52" s="494" t="s">
        <v>633</v>
      </c>
      <c r="P52" s="215" t="s">
        <v>696</v>
      </c>
      <c r="Q52" s="187" t="s">
        <v>697</v>
      </c>
      <c r="R52" s="215" t="s">
        <v>119</v>
      </c>
      <c r="S52" s="215">
        <v>3</v>
      </c>
      <c r="T52" s="97">
        <v>0.82</v>
      </c>
      <c r="U52" s="97">
        <v>0.18</v>
      </c>
      <c r="V52" s="225">
        <v>187.167</v>
      </c>
      <c r="W52" s="225">
        <v>47.600200000000001</v>
      </c>
      <c r="X52" s="188"/>
      <c r="Y52" s="215">
        <f>S52*((T52*V52)+(U52*W52))</f>
        <v>486.13492799999995</v>
      </c>
      <c r="Z52" s="154"/>
      <c r="AA52" s="154"/>
    </row>
    <row r="53" spans="1:27" x14ac:dyDescent="0.25">
      <c r="A53" s="504"/>
      <c r="B53" s="215"/>
      <c r="C53" s="187"/>
      <c r="D53" s="215"/>
      <c r="E53" s="97"/>
      <c r="F53" s="215"/>
      <c r="G53" s="215"/>
      <c r="H53" s="215"/>
      <c r="I53" s="215"/>
      <c r="J53" s="490"/>
      <c r="K53" s="491"/>
      <c r="L53" s="220">
        <f>E53*J53</f>
        <v>0</v>
      </c>
      <c r="M53" s="154"/>
      <c r="N53" s="154"/>
      <c r="O53" s="495"/>
      <c r="P53" s="215"/>
      <c r="Q53" s="189"/>
      <c r="R53" s="215"/>
      <c r="S53" s="215"/>
      <c r="T53" s="97"/>
      <c r="U53" s="97"/>
      <c r="V53" s="215"/>
      <c r="W53" s="215"/>
      <c r="X53" s="188"/>
      <c r="Y53" s="215">
        <f>S53*((T53*V53)+(U53*W53))</f>
        <v>0</v>
      </c>
      <c r="Z53" s="154"/>
      <c r="AA53" s="154"/>
    </row>
    <row r="54" spans="1:27" x14ac:dyDescent="0.25">
      <c r="A54" s="505"/>
      <c r="B54" s="215"/>
      <c r="C54" s="187"/>
      <c r="D54" s="215"/>
      <c r="E54" s="97"/>
      <c r="F54" s="215"/>
      <c r="G54" s="215"/>
      <c r="H54" s="215"/>
      <c r="I54" s="215"/>
      <c r="J54" s="490"/>
      <c r="K54" s="491"/>
      <c r="L54" s="220">
        <f>E54*J54</f>
        <v>0</v>
      </c>
      <c r="M54" s="154"/>
      <c r="N54" s="154"/>
      <c r="O54" s="492" t="s">
        <v>644</v>
      </c>
      <c r="P54" s="493"/>
      <c r="Q54" s="493"/>
      <c r="R54" s="493"/>
      <c r="S54" s="493"/>
      <c r="T54" s="493"/>
      <c r="U54" s="493"/>
      <c r="V54" s="493"/>
      <c r="W54" s="493"/>
      <c r="X54" s="493"/>
      <c r="Y54" s="190">
        <f>SUM(Y52:Y53)</f>
        <v>486.13492799999995</v>
      </c>
      <c r="Z54" s="154"/>
      <c r="AA54" s="154"/>
    </row>
    <row r="55" spans="1:27" x14ac:dyDescent="0.25">
      <c r="A55" s="492" t="s">
        <v>651</v>
      </c>
      <c r="B55" s="493"/>
      <c r="C55" s="493"/>
      <c r="D55" s="493"/>
      <c r="E55" s="493"/>
      <c r="F55" s="493"/>
      <c r="G55" s="493"/>
      <c r="H55" s="493"/>
      <c r="I55" s="493"/>
      <c r="J55" s="493"/>
      <c r="K55" s="491"/>
      <c r="L55" s="224">
        <f>SUM(L51:L54)</f>
        <v>29.930800000000001</v>
      </c>
      <c r="M55" s="154"/>
      <c r="N55" s="154"/>
      <c r="O55" s="218"/>
      <c r="P55" s="215"/>
      <c r="Q55" s="187"/>
      <c r="R55" s="215"/>
      <c r="S55" s="215"/>
      <c r="T55" s="97"/>
      <c r="U55" s="97"/>
      <c r="V55" s="215"/>
      <c r="W55" s="215"/>
      <c r="X55" s="188"/>
      <c r="Y55" s="215">
        <f>S55*X55</f>
        <v>0</v>
      </c>
      <c r="Z55" s="154"/>
      <c r="AA55" s="154"/>
    </row>
    <row r="56" spans="1:27" x14ac:dyDescent="0.25">
      <c r="A56" s="492" t="s">
        <v>654</v>
      </c>
      <c r="B56" s="460"/>
      <c r="C56" s="460"/>
      <c r="D56" s="460"/>
      <c r="E56" s="460"/>
      <c r="F56" s="460"/>
      <c r="G56" s="460"/>
      <c r="H56" s="460"/>
      <c r="I56" s="460"/>
      <c r="J56" s="460"/>
      <c r="K56" s="461"/>
      <c r="L56" s="224">
        <f>L55+L50</f>
        <v>85.592110000000005</v>
      </c>
      <c r="M56" s="154"/>
      <c r="N56" s="154"/>
      <c r="O56" s="219"/>
      <c r="P56" s="215"/>
      <c r="Q56" s="187"/>
      <c r="R56" s="215"/>
      <c r="S56" s="215"/>
      <c r="T56" s="97"/>
      <c r="U56" s="97"/>
      <c r="V56" s="215"/>
      <c r="W56" s="215"/>
      <c r="X56" s="188"/>
      <c r="Y56" s="215"/>
      <c r="Z56" s="154"/>
      <c r="AA56" s="154"/>
    </row>
    <row r="57" spans="1:27" ht="15.75" thickBot="1" x14ac:dyDescent="0.3">
      <c r="A57" s="506" t="s">
        <v>657</v>
      </c>
      <c r="B57" s="507"/>
      <c r="C57" s="507"/>
      <c r="D57" s="507"/>
      <c r="E57" s="507"/>
      <c r="F57" s="507"/>
      <c r="G57" s="507"/>
      <c r="H57" s="507"/>
      <c r="I57" s="507"/>
      <c r="J57" s="507"/>
      <c r="K57" s="513"/>
      <c r="L57" s="226">
        <f>L56/4.2</f>
        <v>20.37907380952381</v>
      </c>
      <c r="M57" s="154"/>
      <c r="N57" s="154"/>
      <c r="O57" s="492" t="s">
        <v>651</v>
      </c>
      <c r="P57" s="493"/>
      <c r="Q57" s="493"/>
      <c r="R57" s="493"/>
      <c r="S57" s="493"/>
      <c r="T57" s="493"/>
      <c r="U57" s="493"/>
      <c r="V57" s="493"/>
      <c r="W57" s="493"/>
      <c r="X57" s="493"/>
      <c r="Y57" s="190">
        <f>SUM(Y55:Y56)</f>
        <v>0</v>
      </c>
      <c r="Z57" s="154"/>
      <c r="AA57" s="154"/>
    </row>
    <row r="58" spans="1:27" ht="15.75" thickBot="1" x14ac:dyDescent="0.3">
      <c r="A58" s="514" t="s">
        <v>662</v>
      </c>
      <c r="B58" s="195" t="s">
        <v>698</v>
      </c>
      <c r="C58" s="195" t="s">
        <v>699</v>
      </c>
      <c r="D58" s="214" t="s">
        <v>118</v>
      </c>
      <c r="E58" s="195">
        <v>1.0581199999999999</v>
      </c>
      <c r="F58" s="195"/>
      <c r="G58" s="195"/>
      <c r="H58" s="195"/>
      <c r="I58" s="195"/>
      <c r="J58" s="515">
        <v>5.4341999999999997</v>
      </c>
      <c r="K58" s="516"/>
      <c r="L58" s="227">
        <f>E58*J58</f>
        <v>5.7500357039999992</v>
      </c>
      <c r="M58" s="154"/>
      <c r="N58" s="154"/>
      <c r="O58" s="492" t="s">
        <v>654</v>
      </c>
      <c r="P58" s="460"/>
      <c r="Q58" s="460"/>
      <c r="R58" s="460"/>
      <c r="S58" s="460"/>
      <c r="T58" s="460"/>
      <c r="U58" s="460"/>
      <c r="V58" s="460"/>
      <c r="W58" s="460"/>
      <c r="X58" s="460"/>
      <c r="Y58" s="190">
        <f>Y57+Y54</f>
        <v>486.13492799999995</v>
      </c>
      <c r="Z58" s="154"/>
      <c r="AA58" s="154"/>
    </row>
    <row r="59" spans="1:27" ht="15.75" thickBot="1" x14ac:dyDescent="0.3">
      <c r="A59" s="504"/>
      <c r="B59" s="95" t="s">
        <v>700</v>
      </c>
      <c r="C59" s="95" t="s">
        <v>701</v>
      </c>
      <c r="D59" s="214" t="s">
        <v>118</v>
      </c>
      <c r="E59" s="95">
        <v>14.13</v>
      </c>
      <c r="F59" s="95"/>
      <c r="G59" s="95"/>
      <c r="H59" s="95"/>
      <c r="I59" s="95"/>
      <c r="J59" s="501">
        <v>15.152100000000001</v>
      </c>
      <c r="K59" s="502"/>
      <c r="L59" s="220">
        <f t="shared" ref="L59:L60" si="3">E59*J59</f>
        <v>214.09917300000004</v>
      </c>
      <c r="M59" s="154"/>
      <c r="N59" s="154"/>
      <c r="O59" s="506" t="s">
        <v>657</v>
      </c>
      <c r="P59" s="507"/>
      <c r="Q59" s="507"/>
      <c r="R59" s="507"/>
      <c r="S59" s="507"/>
      <c r="T59" s="507"/>
      <c r="U59" s="507"/>
      <c r="V59" s="507"/>
      <c r="W59" s="507"/>
      <c r="X59" s="507"/>
      <c r="Y59" s="192">
        <f>Y58/443.72</f>
        <v>1.0955893987199132</v>
      </c>
      <c r="Z59" s="154"/>
      <c r="AA59" s="154"/>
    </row>
    <row r="60" spans="1:27" x14ac:dyDescent="0.25">
      <c r="A60" s="505"/>
      <c r="B60" s="95"/>
      <c r="C60" s="95"/>
      <c r="D60" s="215"/>
      <c r="E60" s="95"/>
      <c r="F60" s="95"/>
      <c r="G60" s="95"/>
      <c r="H60" s="95"/>
      <c r="I60" s="95"/>
      <c r="J60" s="490"/>
      <c r="K60" s="491"/>
      <c r="L60" s="220">
        <f t="shared" si="3"/>
        <v>0</v>
      </c>
      <c r="M60" s="154"/>
      <c r="N60" s="154"/>
      <c r="O60" s="193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54"/>
      <c r="AA60" s="154"/>
    </row>
    <row r="61" spans="1:27" ht="15.75" thickBot="1" x14ac:dyDescent="0.3">
      <c r="A61" s="506" t="s">
        <v>669</v>
      </c>
      <c r="B61" s="517"/>
      <c r="C61" s="517"/>
      <c r="D61" s="517"/>
      <c r="E61" s="517"/>
      <c r="F61" s="517"/>
      <c r="G61" s="517"/>
      <c r="H61" s="517"/>
      <c r="I61" s="517"/>
      <c r="J61" s="517"/>
      <c r="K61" s="518"/>
      <c r="L61" s="226">
        <f>SUM(L58:L60)</f>
        <v>219.84920870400003</v>
      </c>
      <c r="M61" s="154"/>
      <c r="N61" s="154"/>
      <c r="O61" s="193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54"/>
      <c r="AA61" s="154"/>
    </row>
    <row r="62" spans="1:27" ht="30.75" thickBot="1" x14ac:dyDescent="0.3">
      <c r="A62" s="198" t="s">
        <v>670</v>
      </c>
      <c r="B62" s="202">
        <v>1107892</v>
      </c>
      <c r="C62" s="199" t="s">
        <v>702</v>
      </c>
      <c r="D62" s="202" t="s">
        <v>19</v>
      </c>
      <c r="E62" s="201">
        <v>3.5999999999999997E-2</v>
      </c>
      <c r="F62" s="201"/>
      <c r="G62" s="201"/>
      <c r="H62" s="201"/>
      <c r="I62" s="201"/>
      <c r="J62" s="511">
        <f>L84</f>
        <v>304.68804735144801</v>
      </c>
      <c r="K62" s="512"/>
      <c r="L62" s="228">
        <f>J62*E62</f>
        <v>10.968769704652127</v>
      </c>
      <c r="M62" s="154"/>
      <c r="N62" s="154"/>
      <c r="O62" s="193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54"/>
      <c r="AA62" s="154"/>
    </row>
    <row r="63" spans="1:27" ht="15.75" thickBot="1" x14ac:dyDescent="0.3">
      <c r="A63" s="508" t="s">
        <v>633</v>
      </c>
      <c r="B63" s="208" t="s">
        <v>703</v>
      </c>
      <c r="C63" s="204" t="s">
        <v>704</v>
      </c>
      <c r="D63" s="207" t="s">
        <v>119</v>
      </c>
      <c r="E63" s="206">
        <v>1</v>
      </c>
      <c r="F63" s="206">
        <v>0.13</v>
      </c>
      <c r="G63" s="206">
        <v>0.87</v>
      </c>
      <c r="H63" s="229">
        <v>0.49730000000000002</v>
      </c>
      <c r="I63" s="229">
        <v>0.3337</v>
      </c>
      <c r="J63" s="510"/>
      <c r="K63" s="510"/>
      <c r="L63" s="230">
        <f>E63*((F63*H63)+(G63*I63))</f>
        <v>0.35496800000000001</v>
      </c>
      <c r="M63" s="154"/>
      <c r="N63" s="154"/>
      <c r="O63" s="497"/>
      <c r="P63" s="185" t="s">
        <v>17</v>
      </c>
      <c r="Q63" s="499" t="s">
        <v>695</v>
      </c>
      <c r="R63" s="497" t="s">
        <v>624</v>
      </c>
      <c r="S63" s="497" t="s">
        <v>625</v>
      </c>
      <c r="T63" s="497" t="s">
        <v>626</v>
      </c>
      <c r="U63" s="497"/>
      <c r="V63" s="497" t="s">
        <v>627</v>
      </c>
      <c r="W63" s="497"/>
      <c r="X63" s="497" t="s">
        <v>628</v>
      </c>
      <c r="Y63" s="497" t="s">
        <v>629</v>
      </c>
      <c r="Z63" s="154"/>
      <c r="AA63" s="154"/>
    </row>
    <row r="64" spans="1:27" x14ac:dyDescent="0.25">
      <c r="A64" s="524"/>
      <c r="B64" s="208" t="s">
        <v>705</v>
      </c>
      <c r="C64" s="208" t="s">
        <v>706</v>
      </c>
      <c r="D64" s="207" t="s">
        <v>119</v>
      </c>
      <c r="E64" s="206">
        <v>1</v>
      </c>
      <c r="F64" s="206">
        <v>1</v>
      </c>
      <c r="G64" s="206">
        <v>0</v>
      </c>
      <c r="H64" s="229">
        <v>30.639900000000001</v>
      </c>
      <c r="I64" s="229">
        <v>23.433399999999999</v>
      </c>
      <c r="J64" s="510"/>
      <c r="K64" s="510"/>
      <c r="L64" s="230">
        <f>E64*((F64*H64)+(G64*I64))</f>
        <v>30.639900000000001</v>
      </c>
      <c r="M64" s="154"/>
      <c r="N64" s="154"/>
      <c r="O64" s="498"/>
      <c r="P64" s="186">
        <v>5914655</v>
      </c>
      <c r="Q64" s="540"/>
      <c r="R64" s="498"/>
      <c r="S64" s="498"/>
      <c r="T64" s="185" t="s">
        <v>631</v>
      </c>
      <c r="U64" s="185" t="s">
        <v>632</v>
      </c>
      <c r="V64" s="185" t="s">
        <v>631</v>
      </c>
      <c r="W64" s="185" t="s">
        <v>632</v>
      </c>
      <c r="X64" s="498"/>
      <c r="Y64" s="498"/>
      <c r="Z64" s="154"/>
      <c r="AA64" s="154"/>
    </row>
    <row r="65" spans="1:27" x14ac:dyDescent="0.25">
      <c r="A65" s="524"/>
      <c r="B65" s="208" t="s">
        <v>707</v>
      </c>
      <c r="C65" s="208" t="s">
        <v>708</v>
      </c>
      <c r="D65" s="207" t="s">
        <v>119</v>
      </c>
      <c r="E65" s="206">
        <v>4</v>
      </c>
      <c r="F65" s="206">
        <v>0.95</v>
      </c>
      <c r="G65" s="206">
        <v>0.05</v>
      </c>
      <c r="H65" s="229">
        <v>0.2999</v>
      </c>
      <c r="I65" s="229">
        <v>0.20380000000000001</v>
      </c>
      <c r="J65" s="510"/>
      <c r="K65" s="510"/>
      <c r="L65" s="230">
        <f>E65*((F65*H65)+(G65*I65))</f>
        <v>1.1803799999999998</v>
      </c>
      <c r="M65" s="154"/>
      <c r="N65" s="154"/>
      <c r="O65" s="494" t="s">
        <v>633</v>
      </c>
      <c r="P65" s="215" t="s">
        <v>636</v>
      </c>
      <c r="Q65" s="187" t="s">
        <v>709</v>
      </c>
      <c r="R65" s="215" t="s">
        <v>119</v>
      </c>
      <c r="S65" s="215">
        <v>1</v>
      </c>
      <c r="T65" s="215">
        <v>1</v>
      </c>
      <c r="U65" s="97">
        <v>0</v>
      </c>
      <c r="V65" s="210">
        <v>160.66800000000001</v>
      </c>
      <c r="W65" s="210">
        <v>40.731400000000001</v>
      </c>
      <c r="X65" s="188"/>
      <c r="Y65" s="215">
        <f>S65*((T65*V65)+(U65*W65))</f>
        <v>160.66800000000001</v>
      </c>
      <c r="Z65" s="154"/>
      <c r="AA65" s="154"/>
    </row>
    <row r="66" spans="1:27" x14ac:dyDescent="0.25">
      <c r="A66" s="509"/>
      <c r="B66" s="208" t="s">
        <v>710</v>
      </c>
      <c r="C66" s="208" t="s">
        <v>711</v>
      </c>
      <c r="D66" s="207" t="s">
        <v>119</v>
      </c>
      <c r="E66" s="206">
        <v>3</v>
      </c>
      <c r="F66" s="206">
        <v>0.37</v>
      </c>
      <c r="G66" s="206">
        <v>0.63</v>
      </c>
      <c r="H66" s="229">
        <v>0.72540000000000004</v>
      </c>
      <c r="I66" s="229">
        <v>0.4929</v>
      </c>
      <c r="J66" s="510"/>
      <c r="K66" s="510"/>
      <c r="L66" s="230">
        <f t="shared" ref="L66" si="4">E66*((F66*H66)+(G66*I66))</f>
        <v>1.7367750000000002</v>
      </c>
      <c r="M66" s="154"/>
      <c r="N66" s="154"/>
      <c r="O66" s="495"/>
      <c r="P66" s="215"/>
      <c r="Q66" s="189"/>
      <c r="R66" s="215"/>
      <c r="S66" s="215"/>
      <c r="T66" s="97"/>
      <c r="U66" s="97"/>
      <c r="V66" s="215"/>
      <c r="W66" s="215"/>
      <c r="X66" s="188"/>
      <c r="Y66" s="215">
        <f>S66*((T66*V66)+(U66*W66))</f>
        <v>0</v>
      </c>
      <c r="Z66" s="154"/>
      <c r="AA66" s="154"/>
    </row>
    <row r="67" spans="1:27" x14ac:dyDescent="0.25">
      <c r="A67" s="519" t="s">
        <v>644</v>
      </c>
      <c r="B67" s="522"/>
      <c r="C67" s="522"/>
      <c r="D67" s="522"/>
      <c r="E67" s="522"/>
      <c r="F67" s="522"/>
      <c r="G67" s="522"/>
      <c r="H67" s="522"/>
      <c r="I67" s="522"/>
      <c r="J67" s="522"/>
      <c r="K67" s="523"/>
      <c r="L67" s="231">
        <f>SUM(L63:L66)</f>
        <v>33.912023000000005</v>
      </c>
      <c r="M67" s="154"/>
      <c r="N67" s="154"/>
      <c r="O67" s="492" t="s">
        <v>644</v>
      </c>
      <c r="P67" s="493"/>
      <c r="Q67" s="493"/>
      <c r="R67" s="493"/>
      <c r="S67" s="493"/>
      <c r="T67" s="493"/>
      <c r="U67" s="493"/>
      <c r="V67" s="493"/>
      <c r="W67" s="493"/>
      <c r="X67" s="493"/>
      <c r="Y67" s="190">
        <f>SUM(Y65:Y66)</f>
        <v>160.66800000000001</v>
      </c>
      <c r="Z67" s="154"/>
      <c r="AA67" s="154"/>
    </row>
    <row r="68" spans="1:27" x14ac:dyDescent="0.25">
      <c r="A68" s="508" t="s">
        <v>419</v>
      </c>
      <c r="B68" s="208" t="s">
        <v>712</v>
      </c>
      <c r="C68" s="208" t="s">
        <v>713</v>
      </c>
      <c r="D68" s="207" t="s">
        <v>119</v>
      </c>
      <c r="E68" s="206">
        <v>1</v>
      </c>
      <c r="F68" s="208"/>
      <c r="G68" s="208"/>
      <c r="H68" s="208"/>
      <c r="I68" s="208"/>
      <c r="J68" s="525">
        <v>17.420000000000002</v>
      </c>
      <c r="K68" s="525"/>
      <c r="L68" s="230">
        <f>E68*J68</f>
        <v>17.420000000000002</v>
      </c>
      <c r="M68" s="154"/>
      <c r="N68" s="154"/>
      <c r="O68" s="218"/>
      <c r="P68" s="215" t="s">
        <v>647</v>
      </c>
      <c r="Q68" s="187" t="s">
        <v>714</v>
      </c>
      <c r="R68" s="215" t="s">
        <v>119</v>
      </c>
      <c r="S68" s="215">
        <v>6</v>
      </c>
      <c r="T68" s="97"/>
      <c r="U68" s="97"/>
      <c r="V68" s="215"/>
      <c r="W68" s="215"/>
      <c r="X68" s="191">
        <v>13.091200000000001</v>
      </c>
      <c r="Y68" s="215">
        <f>S68*X68</f>
        <v>78.547200000000004</v>
      </c>
      <c r="Z68" s="154"/>
      <c r="AA68" s="154"/>
    </row>
    <row r="69" spans="1:27" x14ac:dyDescent="0.25">
      <c r="A69" s="524"/>
      <c r="B69" s="208" t="s">
        <v>647</v>
      </c>
      <c r="C69" s="208" t="s">
        <v>648</v>
      </c>
      <c r="D69" s="207" t="s">
        <v>119</v>
      </c>
      <c r="E69" s="206">
        <v>10</v>
      </c>
      <c r="F69" s="208"/>
      <c r="G69" s="208"/>
      <c r="H69" s="208"/>
      <c r="I69" s="208"/>
      <c r="J69" s="525">
        <v>13.091200000000001</v>
      </c>
      <c r="K69" s="525"/>
      <c r="L69" s="230">
        <f t="shared" ref="L69:L70" si="5">E69*J69</f>
        <v>130.91200000000001</v>
      </c>
      <c r="M69" s="154"/>
      <c r="N69" s="154"/>
      <c r="O69" s="219"/>
      <c r="P69" s="215"/>
      <c r="Q69" s="187"/>
      <c r="R69" s="215"/>
      <c r="S69" s="215"/>
      <c r="T69" s="97"/>
      <c r="U69" s="97"/>
      <c r="V69" s="215"/>
      <c r="W69" s="215"/>
      <c r="X69" s="188"/>
      <c r="Y69" s="215"/>
      <c r="Z69" s="154"/>
      <c r="AA69" s="154"/>
    </row>
    <row r="70" spans="1:27" x14ac:dyDescent="0.25">
      <c r="A70" s="509"/>
      <c r="B70" s="208"/>
      <c r="C70" s="208"/>
      <c r="D70" s="207"/>
      <c r="E70" s="206"/>
      <c r="F70" s="208"/>
      <c r="G70" s="208"/>
      <c r="H70" s="208"/>
      <c r="I70" s="208"/>
      <c r="J70" s="541"/>
      <c r="K70" s="523"/>
      <c r="L70" s="230">
        <f t="shared" si="5"/>
        <v>0</v>
      </c>
      <c r="M70" s="154"/>
      <c r="N70" s="154"/>
      <c r="O70" s="492" t="s">
        <v>651</v>
      </c>
      <c r="P70" s="493"/>
      <c r="Q70" s="493"/>
      <c r="R70" s="493"/>
      <c r="S70" s="493"/>
      <c r="T70" s="493"/>
      <c r="U70" s="493"/>
      <c r="V70" s="493"/>
      <c r="W70" s="493"/>
      <c r="X70" s="493"/>
      <c r="Y70" s="190">
        <f>SUM(Y68:Y69)</f>
        <v>78.547200000000004</v>
      </c>
      <c r="Z70" s="154"/>
      <c r="AA70" s="154"/>
    </row>
    <row r="71" spans="1:27" x14ac:dyDescent="0.25">
      <c r="A71" s="519" t="s">
        <v>715</v>
      </c>
      <c r="B71" s="522"/>
      <c r="C71" s="522"/>
      <c r="D71" s="522"/>
      <c r="E71" s="522"/>
      <c r="F71" s="522"/>
      <c r="G71" s="522"/>
      <c r="H71" s="522"/>
      <c r="I71" s="522"/>
      <c r="J71" s="522"/>
      <c r="K71" s="523"/>
      <c r="L71" s="231">
        <f>SUM(L68:L70)</f>
        <v>148.33199999999999</v>
      </c>
      <c r="M71" s="154"/>
      <c r="N71" s="154"/>
      <c r="O71" s="492" t="s">
        <v>654</v>
      </c>
      <c r="P71" s="460"/>
      <c r="Q71" s="460"/>
      <c r="R71" s="460"/>
      <c r="S71" s="460"/>
      <c r="T71" s="460"/>
      <c r="U71" s="460"/>
      <c r="V71" s="460"/>
      <c r="W71" s="460"/>
      <c r="X71" s="460"/>
      <c r="Y71" s="190">
        <f>Y70+Y67</f>
        <v>239.21520000000001</v>
      </c>
      <c r="Z71" s="154"/>
      <c r="AA71" s="154"/>
    </row>
    <row r="72" spans="1:27" ht="15.75" thickBot="1" x14ac:dyDescent="0.3">
      <c r="A72" s="519" t="s">
        <v>654</v>
      </c>
      <c r="B72" s="520"/>
      <c r="C72" s="520"/>
      <c r="D72" s="520"/>
      <c r="E72" s="520"/>
      <c r="F72" s="520"/>
      <c r="G72" s="520"/>
      <c r="H72" s="520"/>
      <c r="I72" s="520"/>
      <c r="J72" s="520"/>
      <c r="K72" s="521"/>
      <c r="L72" s="231">
        <f>L71+L67</f>
        <v>182.244023</v>
      </c>
      <c r="M72" s="154"/>
      <c r="N72" s="154"/>
      <c r="O72" s="506" t="s">
        <v>657</v>
      </c>
      <c r="P72" s="507"/>
      <c r="Q72" s="507"/>
      <c r="R72" s="507"/>
      <c r="S72" s="507"/>
      <c r="T72" s="507"/>
      <c r="U72" s="507"/>
      <c r="V72" s="507"/>
      <c r="W72" s="507"/>
      <c r="X72" s="507"/>
      <c r="Y72" s="192">
        <f>Y71/11.92</f>
        <v>20.068389261744969</v>
      </c>
      <c r="Z72" s="154"/>
      <c r="AA72" s="154"/>
    </row>
    <row r="73" spans="1:27" x14ac:dyDescent="0.25">
      <c r="A73" s="519" t="s">
        <v>657</v>
      </c>
      <c r="B73" s="520"/>
      <c r="C73" s="520"/>
      <c r="D73" s="520"/>
      <c r="E73" s="520"/>
      <c r="F73" s="520"/>
      <c r="G73" s="520"/>
      <c r="H73" s="520"/>
      <c r="I73" s="520"/>
      <c r="J73" s="520"/>
      <c r="K73" s="521"/>
      <c r="L73" s="231">
        <f>L72/3.62</f>
        <v>50.343652762430935</v>
      </c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</row>
    <row r="74" spans="1:27" x14ac:dyDescent="0.25">
      <c r="A74" s="508" t="s">
        <v>662</v>
      </c>
      <c r="B74" s="208" t="s">
        <v>716</v>
      </c>
      <c r="C74" s="208" t="s">
        <v>717</v>
      </c>
      <c r="D74" s="207" t="s">
        <v>29</v>
      </c>
      <c r="E74" s="208">
        <v>0.61585999999999996</v>
      </c>
      <c r="F74" s="208"/>
      <c r="G74" s="208"/>
      <c r="H74" s="208"/>
      <c r="I74" s="208"/>
      <c r="J74" s="525">
        <v>61.463500000000003</v>
      </c>
      <c r="K74" s="525"/>
      <c r="L74" s="230">
        <f t="shared" ref="L74:L76" si="6">E74*J74</f>
        <v>37.852911110000001</v>
      </c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</row>
    <row r="75" spans="1:27" x14ac:dyDescent="0.25">
      <c r="A75" s="524"/>
      <c r="B75" s="208" t="s">
        <v>718</v>
      </c>
      <c r="C75" s="208" t="s">
        <v>719</v>
      </c>
      <c r="D75" s="207" t="s">
        <v>29</v>
      </c>
      <c r="E75" s="208">
        <v>0.36753999999999998</v>
      </c>
      <c r="F75" s="208"/>
      <c r="G75" s="208"/>
      <c r="H75" s="208"/>
      <c r="I75" s="208"/>
      <c r="J75" s="525">
        <v>79.939099999999996</v>
      </c>
      <c r="K75" s="525"/>
      <c r="L75" s="230">
        <f t="shared" si="6"/>
        <v>29.380816813999996</v>
      </c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</row>
    <row r="76" spans="1:27" x14ac:dyDescent="0.25">
      <c r="A76" s="524"/>
      <c r="B76" s="208" t="s">
        <v>720</v>
      </c>
      <c r="C76" s="208" t="s">
        <v>721</v>
      </c>
      <c r="D76" s="207" t="s">
        <v>29</v>
      </c>
      <c r="E76" s="208">
        <v>0.36753999999999998</v>
      </c>
      <c r="F76" s="208"/>
      <c r="G76" s="208"/>
      <c r="H76" s="208"/>
      <c r="I76" s="208"/>
      <c r="J76" s="525">
        <v>79.062200000000004</v>
      </c>
      <c r="K76" s="525"/>
      <c r="L76" s="230">
        <f t="shared" si="6"/>
        <v>29.058520988000001</v>
      </c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</row>
    <row r="77" spans="1:27" x14ac:dyDescent="0.25">
      <c r="A77" s="509"/>
      <c r="B77" s="208" t="s">
        <v>722</v>
      </c>
      <c r="C77" s="208" t="s">
        <v>723</v>
      </c>
      <c r="D77" s="207" t="s">
        <v>724</v>
      </c>
      <c r="E77" s="208">
        <v>313.50229000000002</v>
      </c>
      <c r="F77" s="208"/>
      <c r="G77" s="208"/>
      <c r="H77" s="208"/>
      <c r="I77" s="208"/>
      <c r="J77" s="525">
        <v>0.47699999999999998</v>
      </c>
      <c r="K77" s="525"/>
      <c r="L77" s="230">
        <f>E77*J77</f>
        <v>149.54059233000001</v>
      </c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</row>
    <row r="78" spans="1:27" x14ac:dyDescent="0.25">
      <c r="A78" s="519" t="s">
        <v>669</v>
      </c>
      <c r="B78" s="522"/>
      <c r="C78" s="522"/>
      <c r="D78" s="522"/>
      <c r="E78" s="522"/>
      <c r="F78" s="522"/>
      <c r="G78" s="522"/>
      <c r="H78" s="522"/>
      <c r="I78" s="522"/>
      <c r="J78" s="522"/>
      <c r="K78" s="523"/>
      <c r="L78" s="231">
        <f>SUM(L74:L77)</f>
        <v>245.832841242</v>
      </c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</row>
    <row r="79" spans="1:27" x14ac:dyDescent="0.25">
      <c r="A79" s="542" t="s">
        <v>678</v>
      </c>
      <c r="B79" s="232">
        <v>5914647</v>
      </c>
      <c r="C79" s="233" t="s">
        <v>725</v>
      </c>
      <c r="D79" s="207" t="s">
        <v>680</v>
      </c>
      <c r="E79" s="207">
        <v>0.92379</v>
      </c>
      <c r="F79" s="207"/>
      <c r="G79" s="207"/>
      <c r="H79" s="207"/>
      <c r="I79" s="207"/>
      <c r="J79" s="545">
        <f>Y59</f>
        <v>1.0955893987199132</v>
      </c>
      <c r="K79" s="523"/>
      <c r="L79" s="230">
        <f t="shared" ref="L79:L82" si="7">E79*J79</f>
        <v>1.0120945306434685</v>
      </c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</row>
    <row r="80" spans="1:27" x14ac:dyDescent="0.25">
      <c r="A80" s="543"/>
      <c r="B80" s="232">
        <v>5914647</v>
      </c>
      <c r="C80" s="233" t="s">
        <v>726</v>
      </c>
      <c r="D80" s="207" t="s">
        <v>680</v>
      </c>
      <c r="E80" s="207">
        <v>0.55130999999999997</v>
      </c>
      <c r="F80" s="207"/>
      <c r="G80" s="207"/>
      <c r="H80" s="207"/>
      <c r="I80" s="207"/>
      <c r="J80" s="545">
        <f>Y59</f>
        <v>1.0955893987199132</v>
      </c>
      <c r="K80" s="523"/>
      <c r="L80" s="230">
        <f t="shared" si="7"/>
        <v>0.60400939140827536</v>
      </c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</row>
    <row r="81" spans="1:27" x14ac:dyDescent="0.25">
      <c r="A81" s="543"/>
      <c r="B81" s="232">
        <v>5914647</v>
      </c>
      <c r="C81" s="233" t="s">
        <v>727</v>
      </c>
      <c r="D81" s="207" t="s">
        <v>680</v>
      </c>
      <c r="E81" s="207">
        <v>0.55130999999999997</v>
      </c>
      <c r="F81" s="207"/>
      <c r="G81" s="207"/>
      <c r="H81" s="207"/>
      <c r="I81" s="207"/>
      <c r="J81" s="545">
        <f>Y59</f>
        <v>1.0955893987199132</v>
      </c>
      <c r="K81" s="523"/>
      <c r="L81" s="230">
        <f t="shared" si="7"/>
        <v>0.60400939140827536</v>
      </c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</row>
    <row r="82" spans="1:27" x14ac:dyDescent="0.25">
      <c r="A82" s="544"/>
      <c r="B82" s="232">
        <v>5914655</v>
      </c>
      <c r="C82" s="233" t="s">
        <v>728</v>
      </c>
      <c r="D82" s="207" t="s">
        <v>680</v>
      </c>
      <c r="E82" s="207">
        <v>0.3135</v>
      </c>
      <c r="F82" s="207"/>
      <c r="G82" s="207"/>
      <c r="H82" s="207"/>
      <c r="I82" s="207"/>
      <c r="J82" s="545">
        <f>Y35</f>
        <v>20.068389261744969</v>
      </c>
      <c r="K82" s="523"/>
      <c r="L82" s="230">
        <f t="shared" si="7"/>
        <v>6.2914400335570475</v>
      </c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</row>
    <row r="83" spans="1:27" x14ac:dyDescent="0.25">
      <c r="A83" s="546" t="s">
        <v>729</v>
      </c>
      <c r="B83" s="547"/>
      <c r="C83" s="547"/>
      <c r="D83" s="547"/>
      <c r="E83" s="547"/>
      <c r="F83" s="547"/>
      <c r="G83" s="547"/>
      <c r="H83" s="547"/>
      <c r="I83" s="547"/>
      <c r="J83" s="547"/>
      <c r="K83" s="548"/>
      <c r="L83" s="231">
        <f>SUM(L79:L82)</f>
        <v>8.5115533470170668</v>
      </c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</row>
    <row r="84" spans="1:27" ht="15.75" thickBot="1" x14ac:dyDescent="0.3">
      <c r="A84" s="536" t="s">
        <v>681</v>
      </c>
      <c r="B84" s="537"/>
      <c r="C84" s="537"/>
      <c r="D84" s="537"/>
      <c r="E84" s="537"/>
      <c r="F84" s="537"/>
      <c r="G84" s="537"/>
      <c r="H84" s="537"/>
      <c r="I84" s="537"/>
      <c r="J84" s="537"/>
      <c r="K84" s="537"/>
      <c r="L84" s="234">
        <f>L78+L73+L83</f>
        <v>304.68804735144801</v>
      </c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</row>
    <row r="85" spans="1:27" ht="30" x14ac:dyDescent="0.25">
      <c r="A85" s="198" t="s">
        <v>670</v>
      </c>
      <c r="B85" s="202">
        <v>4805750</v>
      </c>
      <c r="C85" s="199" t="s">
        <v>730</v>
      </c>
      <c r="D85" s="202" t="s">
        <v>19</v>
      </c>
      <c r="E85" s="201">
        <v>3.5999999999999997E-2</v>
      </c>
      <c r="F85" s="201"/>
      <c r="G85" s="201"/>
      <c r="H85" s="201"/>
      <c r="I85" s="201"/>
      <c r="J85" s="511">
        <f>L98</f>
        <v>27.684900000000003</v>
      </c>
      <c r="K85" s="512"/>
      <c r="L85" s="228">
        <f>J85*E85</f>
        <v>0.9966564</v>
      </c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</row>
    <row r="86" spans="1:27" x14ac:dyDescent="0.25">
      <c r="A86" s="235"/>
      <c r="B86" s="208"/>
      <c r="C86" s="204"/>
      <c r="D86" s="207"/>
      <c r="E86" s="206"/>
      <c r="F86" s="206"/>
      <c r="G86" s="206"/>
      <c r="H86" s="208"/>
      <c r="I86" s="208"/>
      <c r="J86" s="510"/>
      <c r="K86" s="510"/>
      <c r="L86" s="230">
        <f>E86*((F86*H86)+(G86*I86))</f>
        <v>0</v>
      </c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</row>
    <row r="87" spans="1:27" x14ac:dyDescent="0.25">
      <c r="A87" s="235"/>
      <c r="B87" s="208"/>
      <c r="C87" s="208"/>
      <c r="D87" s="207"/>
      <c r="E87" s="206"/>
      <c r="F87" s="206"/>
      <c r="G87" s="206"/>
      <c r="H87" s="208"/>
      <c r="I87" s="208"/>
      <c r="J87" s="510"/>
      <c r="K87" s="510"/>
      <c r="L87" s="230">
        <f>E87*((F87*H87)+(G87*I87))</f>
        <v>0</v>
      </c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</row>
    <row r="88" spans="1:27" x14ac:dyDescent="0.25">
      <c r="A88" s="519" t="s">
        <v>644</v>
      </c>
      <c r="B88" s="522"/>
      <c r="C88" s="522"/>
      <c r="D88" s="522"/>
      <c r="E88" s="522"/>
      <c r="F88" s="522"/>
      <c r="G88" s="522"/>
      <c r="H88" s="522"/>
      <c r="I88" s="522"/>
      <c r="J88" s="522"/>
      <c r="K88" s="523"/>
      <c r="L88" s="231">
        <f>SUM(L86:L87)</f>
        <v>0</v>
      </c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</row>
    <row r="89" spans="1:27" x14ac:dyDescent="0.25">
      <c r="A89" s="235"/>
      <c r="B89" s="208" t="s">
        <v>647</v>
      </c>
      <c r="C89" s="208" t="s">
        <v>648</v>
      </c>
      <c r="D89" s="207" t="s">
        <v>119</v>
      </c>
      <c r="E89" s="206">
        <v>1</v>
      </c>
      <c r="F89" s="208"/>
      <c r="G89" s="208"/>
      <c r="H89" s="208"/>
      <c r="I89" s="208"/>
      <c r="J89" s="525">
        <v>13.091200000000001</v>
      </c>
      <c r="K89" s="525"/>
      <c r="L89" s="230">
        <f>E89*J89</f>
        <v>13.091200000000001</v>
      </c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</row>
    <row r="90" spans="1:27" x14ac:dyDescent="0.25">
      <c r="A90" s="235"/>
      <c r="B90" s="208"/>
      <c r="C90" s="208"/>
      <c r="D90" s="207"/>
      <c r="E90" s="206"/>
      <c r="F90" s="208"/>
      <c r="G90" s="208"/>
      <c r="H90" s="208"/>
      <c r="I90" s="208"/>
      <c r="J90" s="510"/>
      <c r="K90" s="510"/>
      <c r="L90" s="230">
        <f t="shared" ref="L90:L91" si="8">E90*J90</f>
        <v>0</v>
      </c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</row>
    <row r="91" spans="1:27" x14ac:dyDescent="0.25">
      <c r="A91" s="235"/>
      <c r="B91" s="208"/>
      <c r="C91" s="208"/>
      <c r="D91" s="207"/>
      <c r="E91" s="206"/>
      <c r="F91" s="208"/>
      <c r="G91" s="208"/>
      <c r="H91" s="208"/>
      <c r="I91" s="208"/>
      <c r="J91" s="510"/>
      <c r="K91" s="510"/>
      <c r="L91" s="230">
        <f t="shared" si="8"/>
        <v>0</v>
      </c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</row>
    <row r="92" spans="1:27" x14ac:dyDescent="0.25">
      <c r="A92" s="519" t="s">
        <v>651</v>
      </c>
      <c r="B92" s="522"/>
      <c r="C92" s="522"/>
      <c r="D92" s="522"/>
      <c r="E92" s="522"/>
      <c r="F92" s="522"/>
      <c r="G92" s="522"/>
      <c r="H92" s="522"/>
      <c r="I92" s="522"/>
      <c r="J92" s="522"/>
      <c r="K92" s="523"/>
      <c r="L92" s="231">
        <f>SUM(L89:L91)</f>
        <v>13.091200000000001</v>
      </c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</row>
    <row r="93" spans="1:27" x14ac:dyDescent="0.25">
      <c r="A93" s="519" t="s">
        <v>654</v>
      </c>
      <c r="B93" s="520"/>
      <c r="C93" s="520"/>
      <c r="D93" s="520"/>
      <c r="E93" s="520"/>
      <c r="F93" s="520"/>
      <c r="G93" s="520"/>
      <c r="H93" s="520"/>
      <c r="I93" s="520"/>
      <c r="J93" s="520"/>
      <c r="K93" s="521"/>
      <c r="L93" s="231">
        <f>L92+L88</f>
        <v>13.091200000000001</v>
      </c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</row>
    <row r="94" spans="1:27" x14ac:dyDescent="0.25">
      <c r="A94" s="519" t="s">
        <v>657</v>
      </c>
      <c r="B94" s="520"/>
      <c r="C94" s="520"/>
      <c r="D94" s="520"/>
      <c r="E94" s="520"/>
      <c r="F94" s="520"/>
      <c r="G94" s="520"/>
      <c r="H94" s="520"/>
      <c r="I94" s="520"/>
      <c r="J94" s="520"/>
      <c r="K94" s="521"/>
      <c r="L94" s="231">
        <f>L93/0.5</f>
        <v>26.182400000000001</v>
      </c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</row>
    <row r="95" spans="1:27" x14ac:dyDescent="0.25">
      <c r="A95" s="235"/>
      <c r="B95" s="208"/>
      <c r="C95" s="208"/>
      <c r="D95" s="207"/>
      <c r="E95" s="208"/>
      <c r="F95" s="208"/>
      <c r="G95" s="208"/>
      <c r="H95" s="208"/>
      <c r="I95" s="208"/>
      <c r="J95" s="510"/>
      <c r="K95" s="510"/>
      <c r="L95" s="230">
        <f>E95*J95</f>
        <v>0</v>
      </c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</row>
    <row r="96" spans="1:27" x14ac:dyDescent="0.25">
      <c r="A96" s="519" t="s">
        <v>669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3"/>
      <c r="L96" s="231">
        <f>SUM(L95)</f>
        <v>0</v>
      </c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</row>
    <row r="97" spans="1:27" x14ac:dyDescent="0.25">
      <c r="A97" s="235"/>
      <c r="B97" s="208"/>
      <c r="C97" s="208"/>
      <c r="D97" s="207"/>
      <c r="E97" s="208"/>
      <c r="F97" s="208"/>
      <c r="G97" s="208"/>
      <c r="H97" s="208"/>
      <c r="I97" s="208"/>
      <c r="J97" s="236" t="s">
        <v>731</v>
      </c>
      <c r="K97" s="237"/>
      <c r="L97" s="231">
        <v>1.5024999999999999</v>
      </c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</row>
    <row r="98" spans="1:27" ht="15.75" thickBot="1" x14ac:dyDescent="0.3">
      <c r="A98" s="536" t="s">
        <v>681</v>
      </c>
      <c r="B98" s="537"/>
      <c r="C98" s="537"/>
      <c r="D98" s="537"/>
      <c r="E98" s="537"/>
      <c r="F98" s="537"/>
      <c r="G98" s="537"/>
      <c r="H98" s="537"/>
      <c r="I98" s="537"/>
      <c r="J98" s="537"/>
      <c r="K98" s="537"/>
      <c r="L98" s="234">
        <f>L97+L96+L94</f>
        <v>27.684900000000003</v>
      </c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</row>
    <row r="99" spans="1:27" ht="30" x14ac:dyDescent="0.25">
      <c r="A99" s="529" t="s">
        <v>678</v>
      </c>
      <c r="B99" s="239" t="s">
        <v>698</v>
      </c>
      <c r="C99" s="238" t="s">
        <v>732</v>
      </c>
      <c r="D99" s="239" t="s">
        <v>680</v>
      </c>
      <c r="E99" s="239">
        <v>1.06E-3</v>
      </c>
      <c r="F99" s="239"/>
      <c r="G99" s="239"/>
      <c r="H99" s="239"/>
      <c r="I99" s="239"/>
      <c r="J99" s="549">
        <f>Y23</f>
        <v>21.324672021419008</v>
      </c>
      <c r="K99" s="550"/>
      <c r="L99" s="240">
        <f>E99*J99</f>
        <v>2.2604152342704149E-2</v>
      </c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</row>
    <row r="100" spans="1:27" x14ac:dyDescent="0.25">
      <c r="A100" s="530"/>
      <c r="B100" s="158" t="s">
        <v>700</v>
      </c>
      <c r="C100" s="123" t="s">
        <v>733</v>
      </c>
      <c r="D100" s="158" t="s">
        <v>680</v>
      </c>
      <c r="E100" s="158">
        <v>1.413E-2</v>
      </c>
      <c r="F100" s="158"/>
      <c r="G100" s="158"/>
      <c r="H100" s="158"/>
      <c r="I100" s="158"/>
      <c r="J100" s="551">
        <f>Y23</f>
        <v>21.324672021419008</v>
      </c>
      <c r="K100" s="470"/>
      <c r="L100" s="241">
        <f t="shared" ref="L100:L101" si="9">E100*J100</f>
        <v>0.30131761566265058</v>
      </c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</row>
    <row r="101" spans="1:27" ht="30" x14ac:dyDescent="0.25">
      <c r="A101" s="530"/>
      <c r="B101" s="158">
        <v>4805750</v>
      </c>
      <c r="C101" s="104" t="s">
        <v>734</v>
      </c>
      <c r="D101" s="158" t="s">
        <v>680</v>
      </c>
      <c r="E101" s="158">
        <v>6.7500000000000004E-2</v>
      </c>
      <c r="F101" s="158"/>
      <c r="G101" s="158"/>
      <c r="H101" s="158"/>
      <c r="I101" s="158"/>
      <c r="J101" s="551">
        <f>Y46</f>
        <v>44.437665562913907</v>
      </c>
      <c r="K101" s="470"/>
      <c r="L101" s="241">
        <f t="shared" si="9"/>
        <v>2.9995424254966889</v>
      </c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</row>
    <row r="102" spans="1:27" ht="15.75" thickBot="1" x14ac:dyDescent="0.3">
      <c r="A102" s="552" t="s">
        <v>685</v>
      </c>
      <c r="B102" s="553"/>
      <c r="C102" s="553"/>
      <c r="D102" s="553"/>
      <c r="E102" s="553"/>
      <c r="F102" s="553"/>
      <c r="G102" s="553"/>
      <c r="H102" s="553"/>
      <c r="I102" s="553"/>
      <c r="J102" s="553"/>
      <c r="K102" s="554"/>
      <c r="L102" s="242">
        <f>SUM(L99:L101)</f>
        <v>3.3234641935020437</v>
      </c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</row>
    <row r="103" spans="1:27" ht="15.75" thickBot="1" x14ac:dyDescent="0.3">
      <c r="A103" s="526" t="s">
        <v>735</v>
      </c>
      <c r="B103" s="527"/>
      <c r="C103" s="527"/>
      <c r="D103" s="527"/>
      <c r="E103" s="527"/>
      <c r="F103" s="527"/>
      <c r="G103" s="527"/>
      <c r="H103" s="527"/>
      <c r="I103" s="527"/>
      <c r="J103" s="527"/>
      <c r="K103" s="528"/>
      <c r="L103" s="243">
        <f>L102+L85+L62+L61+L57</f>
        <v>255.51717281167802</v>
      </c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</row>
    <row r="104" spans="1:27" x14ac:dyDescent="0.25">
      <c r="A104" s="244"/>
      <c r="B104" s="245"/>
      <c r="C104" s="245"/>
      <c r="D104" s="245"/>
      <c r="E104" s="245"/>
      <c r="F104" s="245"/>
      <c r="G104" s="245"/>
      <c r="H104" s="245"/>
      <c r="I104" s="245"/>
      <c r="J104" s="245"/>
      <c r="K104" s="245"/>
      <c r="L104" s="246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</row>
    <row r="105" spans="1:27" x14ac:dyDescent="0.25">
      <c r="A105" s="244"/>
      <c r="B105" s="245"/>
      <c r="C105" s="245"/>
      <c r="D105" s="245"/>
      <c r="E105" s="245"/>
      <c r="F105" s="245"/>
      <c r="G105" s="245"/>
      <c r="H105" s="245"/>
      <c r="I105" s="245"/>
      <c r="J105" s="245"/>
      <c r="K105" s="245"/>
      <c r="L105" s="246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</row>
    <row r="106" spans="1:27" ht="15.75" thickBot="1" x14ac:dyDescent="0.3">
      <c r="A106" s="154"/>
      <c r="B106" s="183"/>
      <c r="C106" s="154"/>
      <c r="D106" s="154"/>
      <c r="E106" s="183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</row>
    <row r="107" spans="1:27" ht="15.75" thickBot="1" x14ac:dyDescent="0.3">
      <c r="A107" s="497" t="s">
        <v>349</v>
      </c>
      <c r="B107" s="185" t="s">
        <v>17</v>
      </c>
      <c r="C107" s="499" t="s">
        <v>623</v>
      </c>
      <c r="D107" s="497" t="s">
        <v>624</v>
      </c>
      <c r="E107" s="497" t="s">
        <v>625</v>
      </c>
      <c r="F107" s="497" t="s">
        <v>626</v>
      </c>
      <c r="G107" s="497"/>
      <c r="H107" s="497" t="s">
        <v>687</v>
      </c>
      <c r="I107" s="497"/>
      <c r="J107" s="497" t="s">
        <v>628</v>
      </c>
      <c r="K107" s="497"/>
      <c r="L107" s="497" t="s">
        <v>629</v>
      </c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</row>
    <row r="108" spans="1:27" ht="15.75" thickBot="1" x14ac:dyDescent="0.3">
      <c r="A108" s="497"/>
      <c r="B108" s="247">
        <v>5213441</v>
      </c>
      <c r="C108" s="555"/>
      <c r="D108" s="497"/>
      <c r="E108" s="497"/>
      <c r="F108" s="248" t="s">
        <v>631</v>
      </c>
      <c r="G108" s="248" t="s">
        <v>632</v>
      </c>
      <c r="H108" s="248" t="s">
        <v>631</v>
      </c>
      <c r="I108" s="248" t="s">
        <v>632</v>
      </c>
      <c r="J108" s="497"/>
      <c r="K108" s="497"/>
      <c r="L108" s="497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</row>
    <row r="109" spans="1:27" x14ac:dyDescent="0.25">
      <c r="A109" s="496" t="s">
        <v>633</v>
      </c>
      <c r="B109" s="249" t="s">
        <v>660</v>
      </c>
      <c r="C109" s="250" t="s">
        <v>661</v>
      </c>
      <c r="D109" s="249" t="s">
        <v>119</v>
      </c>
      <c r="E109" s="249">
        <v>1</v>
      </c>
      <c r="F109" s="251">
        <v>0.3</v>
      </c>
      <c r="G109" s="251">
        <v>0.7</v>
      </c>
      <c r="H109" s="210">
        <v>106.93049999999999</v>
      </c>
      <c r="I109" s="210">
        <v>33.688800000000001</v>
      </c>
      <c r="J109" s="556"/>
      <c r="K109" s="557"/>
      <c r="L109" s="252">
        <f>E109*((F109*H109)+(G109*I109))</f>
        <v>55.66131</v>
      </c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</row>
    <row r="110" spans="1:27" x14ac:dyDescent="0.25">
      <c r="A110" s="496"/>
      <c r="B110" s="215"/>
      <c r="C110" s="187"/>
      <c r="D110" s="215"/>
      <c r="E110" s="215"/>
      <c r="F110" s="97"/>
      <c r="G110" s="97"/>
      <c r="H110" s="215"/>
      <c r="I110" s="215"/>
      <c r="J110" s="490"/>
      <c r="K110" s="491"/>
      <c r="L110" s="253">
        <f>E110*((F110*H110)+(G110*I110))</f>
        <v>0</v>
      </c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</row>
    <row r="111" spans="1:27" x14ac:dyDescent="0.25">
      <c r="A111" s="496"/>
      <c r="B111" s="215"/>
      <c r="C111" s="187"/>
      <c r="D111" s="215"/>
      <c r="E111" s="215"/>
      <c r="F111" s="97"/>
      <c r="G111" s="97"/>
      <c r="H111" s="215"/>
      <c r="I111" s="215"/>
      <c r="J111" s="490"/>
      <c r="K111" s="491"/>
      <c r="L111" s="253">
        <f>E111*((F111*H111)+(G111*I111))</f>
        <v>0</v>
      </c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</row>
    <row r="112" spans="1:27" x14ac:dyDescent="0.25">
      <c r="A112" s="496"/>
      <c r="B112" s="215"/>
      <c r="C112" s="187"/>
      <c r="D112" s="215"/>
      <c r="E112" s="215"/>
      <c r="F112" s="97"/>
      <c r="G112" s="97"/>
      <c r="H112" s="215"/>
      <c r="I112" s="215"/>
      <c r="J112" s="490"/>
      <c r="K112" s="491"/>
      <c r="L112" s="253">
        <f>E112*((F112*H112)+(G112*I112))</f>
        <v>0</v>
      </c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</row>
    <row r="113" spans="1:27" x14ac:dyDescent="0.25">
      <c r="A113" s="495"/>
      <c r="B113" s="215"/>
      <c r="C113" s="187"/>
      <c r="D113" s="215"/>
      <c r="E113" s="215"/>
      <c r="F113" s="97"/>
      <c r="G113" s="97"/>
      <c r="H113" s="215"/>
      <c r="I113" s="215"/>
      <c r="J113" s="490"/>
      <c r="K113" s="491"/>
      <c r="L113" s="253">
        <f>E113*((F113*H113)+(G113*I113))</f>
        <v>0</v>
      </c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</row>
    <row r="114" spans="1:27" x14ac:dyDescent="0.25">
      <c r="A114" s="492" t="s">
        <v>644</v>
      </c>
      <c r="B114" s="493"/>
      <c r="C114" s="493"/>
      <c r="D114" s="493"/>
      <c r="E114" s="493"/>
      <c r="F114" s="493"/>
      <c r="G114" s="493"/>
      <c r="H114" s="493"/>
      <c r="I114" s="493"/>
      <c r="J114" s="493"/>
      <c r="K114" s="491"/>
      <c r="L114" s="224">
        <f>SUM(L109:L113)</f>
        <v>55.66131</v>
      </c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</row>
    <row r="115" spans="1:27" x14ac:dyDescent="0.25">
      <c r="A115" s="503" t="s">
        <v>419</v>
      </c>
      <c r="B115" s="215"/>
      <c r="C115" s="187"/>
      <c r="D115" s="215"/>
      <c r="E115" s="97"/>
      <c r="F115" s="215"/>
      <c r="G115" s="215"/>
      <c r="H115" s="215"/>
      <c r="I115" s="215"/>
      <c r="J115" s="490"/>
      <c r="K115" s="491"/>
      <c r="L115" s="253">
        <f>E115*J115</f>
        <v>0</v>
      </c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</row>
    <row r="116" spans="1:27" x14ac:dyDescent="0.25">
      <c r="A116" s="504"/>
      <c r="B116" s="215" t="s">
        <v>655</v>
      </c>
      <c r="C116" s="187" t="s">
        <v>656</v>
      </c>
      <c r="D116" s="215" t="s">
        <v>119</v>
      </c>
      <c r="E116" s="97">
        <v>1</v>
      </c>
      <c r="F116" s="215"/>
      <c r="G116" s="215"/>
      <c r="H116" s="215"/>
      <c r="I116" s="215"/>
      <c r="J116" s="501">
        <v>21.6858</v>
      </c>
      <c r="K116" s="502"/>
      <c r="L116" s="253">
        <f>E116*J116</f>
        <v>21.6858</v>
      </c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</row>
    <row r="117" spans="1:27" x14ac:dyDescent="0.25">
      <c r="A117" s="504"/>
      <c r="B117" s="215"/>
      <c r="C117" s="187"/>
      <c r="D117" s="215"/>
      <c r="E117" s="97"/>
      <c r="F117" s="215"/>
      <c r="G117" s="215"/>
      <c r="H117" s="215"/>
      <c r="I117" s="215"/>
      <c r="J117" s="501"/>
      <c r="K117" s="502"/>
      <c r="L117" s="253">
        <f>E117*J117</f>
        <v>0</v>
      </c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</row>
    <row r="118" spans="1:27" x14ac:dyDescent="0.25">
      <c r="A118" s="505"/>
      <c r="B118" s="215" t="s">
        <v>647</v>
      </c>
      <c r="C118" s="187" t="s">
        <v>648</v>
      </c>
      <c r="D118" s="215" t="s">
        <v>119</v>
      </c>
      <c r="E118" s="97">
        <v>2</v>
      </c>
      <c r="F118" s="215"/>
      <c r="G118" s="215"/>
      <c r="H118" s="215"/>
      <c r="I118" s="215"/>
      <c r="J118" s="501">
        <v>13.091200000000001</v>
      </c>
      <c r="K118" s="502"/>
      <c r="L118" s="253">
        <f>E118*J118</f>
        <v>26.182400000000001</v>
      </c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</row>
    <row r="119" spans="1:27" x14ac:dyDescent="0.25">
      <c r="A119" s="492" t="s">
        <v>651</v>
      </c>
      <c r="B119" s="493"/>
      <c r="C119" s="493"/>
      <c r="D119" s="493"/>
      <c r="E119" s="493"/>
      <c r="F119" s="493"/>
      <c r="G119" s="493"/>
      <c r="H119" s="493"/>
      <c r="I119" s="493"/>
      <c r="J119" s="493"/>
      <c r="K119" s="491"/>
      <c r="L119" s="224">
        <f>SUM(L115:L118)</f>
        <v>47.868200000000002</v>
      </c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</row>
    <row r="120" spans="1:27" x14ac:dyDescent="0.25">
      <c r="A120" s="492" t="s">
        <v>654</v>
      </c>
      <c r="B120" s="460"/>
      <c r="C120" s="460"/>
      <c r="D120" s="460"/>
      <c r="E120" s="460"/>
      <c r="F120" s="460"/>
      <c r="G120" s="460"/>
      <c r="H120" s="460"/>
      <c r="I120" s="460"/>
      <c r="J120" s="460"/>
      <c r="K120" s="461"/>
      <c r="L120" s="224">
        <f>L119+L114</f>
        <v>103.52951</v>
      </c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</row>
    <row r="121" spans="1:27" ht="15.75" thickBot="1" x14ac:dyDescent="0.3">
      <c r="A121" s="506" t="s">
        <v>657</v>
      </c>
      <c r="B121" s="507"/>
      <c r="C121" s="507"/>
      <c r="D121" s="507"/>
      <c r="E121" s="507"/>
      <c r="F121" s="507"/>
      <c r="G121" s="507"/>
      <c r="H121" s="507"/>
      <c r="I121" s="507"/>
      <c r="J121" s="507"/>
      <c r="K121" s="513"/>
      <c r="L121" s="254">
        <f>L120/3</f>
        <v>34.509836666666665</v>
      </c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</row>
    <row r="122" spans="1:27" x14ac:dyDescent="0.25">
      <c r="A122" s="514" t="s">
        <v>662</v>
      </c>
      <c r="B122" s="214"/>
      <c r="C122" s="195"/>
      <c r="D122" s="214"/>
      <c r="E122" s="214"/>
      <c r="F122" s="195"/>
      <c r="G122" s="195"/>
      <c r="H122" s="195"/>
      <c r="I122" s="195"/>
      <c r="J122" s="558"/>
      <c r="K122" s="559"/>
      <c r="L122" s="255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</row>
    <row r="123" spans="1:27" x14ac:dyDescent="0.25">
      <c r="A123" s="504"/>
      <c r="B123" s="215"/>
      <c r="C123" s="95"/>
      <c r="D123" s="215"/>
      <c r="E123" s="215"/>
      <c r="F123" s="95"/>
      <c r="G123" s="95"/>
      <c r="H123" s="95"/>
      <c r="I123" s="95"/>
      <c r="J123" s="490"/>
      <c r="K123" s="491"/>
      <c r="L123" s="253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</row>
    <row r="124" spans="1:27" x14ac:dyDescent="0.25">
      <c r="A124" s="505"/>
      <c r="B124" s="215"/>
      <c r="C124" s="95"/>
      <c r="D124" s="215"/>
      <c r="E124" s="215"/>
      <c r="F124" s="95"/>
      <c r="G124" s="95"/>
      <c r="H124" s="95"/>
      <c r="I124" s="95"/>
      <c r="J124" s="490"/>
      <c r="K124" s="491"/>
      <c r="L124" s="253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</row>
    <row r="125" spans="1:27" ht="15.75" thickBot="1" x14ac:dyDescent="0.3">
      <c r="A125" s="506" t="s">
        <v>669</v>
      </c>
      <c r="B125" s="517"/>
      <c r="C125" s="517"/>
      <c r="D125" s="517"/>
      <c r="E125" s="517"/>
      <c r="F125" s="517"/>
      <c r="G125" s="517"/>
      <c r="H125" s="517"/>
      <c r="I125" s="517"/>
      <c r="J125" s="517"/>
      <c r="K125" s="518"/>
      <c r="L125" s="226">
        <f>SUM(L122:L124)</f>
        <v>0</v>
      </c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</row>
    <row r="126" spans="1:27" ht="30.75" thickBot="1" x14ac:dyDescent="0.3">
      <c r="A126" s="256" t="s">
        <v>670</v>
      </c>
      <c r="B126" s="260">
        <v>5213414</v>
      </c>
      <c r="C126" s="257" t="s">
        <v>736</v>
      </c>
      <c r="D126" s="260" t="s">
        <v>19</v>
      </c>
      <c r="E126" s="258">
        <v>0.5</v>
      </c>
      <c r="F126" s="259"/>
      <c r="G126" s="259"/>
      <c r="H126" s="259"/>
      <c r="I126" s="259"/>
      <c r="J126" s="560">
        <f>L169</f>
        <v>661.10073011357963</v>
      </c>
      <c r="K126" s="561"/>
      <c r="L126" s="261">
        <f>J126*E126</f>
        <v>330.55036505678981</v>
      </c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</row>
    <row r="127" spans="1:27" ht="30" x14ac:dyDescent="0.25">
      <c r="A127" s="529" t="s">
        <v>678</v>
      </c>
      <c r="B127" s="214">
        <v>5213414</v>
      </c>
      <c r="C127" s="262" t="s">
        <v>737</v>
      </c>
      <c r="D127" s="214" t="s">
        <v>680</v>
      </c>
      <c r="E127" s="214">
        <v>6.6400000000000001E-3</v>
      </c>
      <c r="F127" s="195"/>
      <c r="G127" s="195"/>
      <c r="H127" s="195"/>
      <c r="I127" s="195"/>
      <c r="J127" s="531">
        <f>Y23</f>
        <v>21.324672021419008</v>
      </c>
      <c r="K127" s="532"/>
      <c r="L127" s="255">
        <f>E127*J127</f>
        <v>0.14159582222222222</v>
      </c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</row>
    <row r="128" spans="1:27" x14ac:dyDescent="0.25">
      <c r="A128" s="530"/>
      <c r="B128" s="215"/>
      <c r="C128" s="95"/>
      <c r="D128" s="215"/>
      <c r="E128" s="215"/>
      <c r="F128" s="95"/>
      <c r="G128" s="95"/>
      <c r="H128" s="95"/>
      <c r="I128" s="95"/>
      <c r="J128" s="533"/>
      <c r="K128" s="534"/>
      <c r="L128" s="253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</row>
    <row r="129" spans="1:27" x14ac:dyDescent="0.25">
      <c r="A129" s="530"/>
      <c r="B129" s="215"/>
      <c r="C129" s="95"/>
      <c r="D129" s="215"/>
      <c r="E129" s="215"/>
      <c r="F129" s="95"/>
      <c r="G129" s="95"/>
      <c r="H129" s="95"/>
      <c r="I129" s="95"/>
      <c r="J129" s="533"/>
      <c r="K129" s="534"/>
      <c r="L129" s="253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</row>
    <row r="130" spans="1:27" ht="15.75" thickBot="1" x14ac:dyDescent="0.3">
      <c r="A130" s="506" t="s">
        <v>685</v>
      </c>
      <c r="B130" s="517"/>
      <c r="C130" s="517"/>
      <c r="D130" s="517"/>
      <c r="E130" s="517"/>
      <c r="F130" s="517"/>
      <c r="G130" s="517"/>
      <c r="H130" s="517"/>
      <c r="I130" s="517"/>
      <c r="J130" s="517"/>
      <c r="K130" s="518"/>
      <c r="L130" s="226">
        <f>SUM(L127:L129)</f>
        <v>0.14159582222222222</v>
      </c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</row>
    <row r="131" spans="1:27" x14ac:dyDescent="0.25">
      <c r="A131" s="562" t="s">
        <v>738</v>
      </c>
      <c r="B131" s="563"/>
      <c r="C131" s="563"/>
      <c r="D131" s="563"/>
      <c r="E131" s="563"/>
      <c r="F131" s="563"/>
      <c r="G131" s="563"/>
      <c r="H131" s="563"/>
      <c r="I131" s="563"/>
      <c r="J131" s="563"/>
      <c r="K131" s="564"/>
      <c r="L131" s="263">
        <f>L130+L125+L121+L126</f>
        <v>365.20179754567869</v>
      </c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</row>
    <row r="132" spans="1:27" ht="15.75" thickBot="1" x14ac:dyDescent="0.3">
      <c r="A132" s="193"/>
      <c r="B132" s="245"/>
      <c r="C132" s="194"/>
      <c r="D132" s="194"/>
      <c r="E132" s="245"/>
      <c r="F132" s="194"/>
      <c r="G132" s="194"/>
      <c r="H132" s="194"/>
      <c r="I132" s="194"/>
      <c r="J132" s="194"/>
      <c r="K132" s="194"/>
      <c r="L132" s="26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</row>
    <row r="133" spans="1:27" ht="15.75" thickBot="1" x14ac:dyDescent="0.3">
      <c r="A133" s="565" t="s">
        <v>739</v>
      </c>
      <c r="B133" s="566"/>
      <c r="C133" s="566"/>
      <c r="D133" s="566"/>
      <c r="E133" s="566"/>
      <c r="F133" s="566"/>
      <c r="G133" s="566"/>
      <c r="H133" s="566"/>
      <c r="I133" s="566"/>
      <c r="J133" s="566"/>
      <c r="K133" s="566"/>
      <c r="L133" s="567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</row>
    <row r="134" spans="1:27" ht="15.75" thickBot="1" x14ac:dyDescent="0.3">
      <c r="A134" s="568"/>
      <c r="B134" s="265" t="s">
        <v>17</v>
      </c>
      <c r="C134" s="570" t="s">
        <v>740</v>
      </c>
      <c r="D134" s="568" t="s">
        <v>624</v>
      </c>
      <c r="E134" s="568" t="s">
        <v>625</v>
      </c>
      <c r="F134" s="568" t="s">
        <v>626</v>
      </c>
      <c r="G134" s="568"/>
      <c r="H134" s="568" t="s">
        <v>627</v>
      </c>
      <c r="I134" s="568"/>
      <c r="J134" s="568" t="s">
        <v>628</v>
      </c>
      <c r="K134" s="568"/>
      <c r="L134" s="568" t="s">
        <v>629</v>
      </c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</row>
    <row r="135" spans="1:27" x14ac:dyDescent="0.25">
      <c r="A135" s="569"/>
      <c r="B135" s="266">
        <v>5213414</v>
      </c>
      <c r="C135" s="571"/>
      <c r="D135" s="569"/>
      <c r="E135" s="569"/>
      <c r="F135" s="265" t="s">
        <v>631</v>
      </c>
      <c r="G135" s="265" t="s">
        <v>632</v>
      </c>
      <c r="H135" s="265" t="s">
        <v>631</v>
      </c>
      <c r="I135" s="265" t="s">
        <v>632</v>
      </c>
      <c r="J135" s="569"/>
      <c r="K135" s="569"/>
      <c r="L135" s="569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</row>
    <row r="136" spans="1:27" x14ac:dyDescent="0.25">
      <c r="A136" s="572" t="s">
        <v>633</v>
      </c>
      <c r="B136" s="207" t="s">
        <v>638</v>
      </c>
      <c r="C136" s="233" t="s">
        <v>639</v>
      </c>
      <c r="D136" s="207" t="s">
        <v>119</v>
      </c>
      <c r="E136" s="207">
        <v>0.15060000000000001</v>
      </c>
      <c r="F136" s="205">
        <v>1</v>
      </c>
      <c r="G136" s="205">
        <v>0</v>
      </c>
      <c r="H136" s="210">
        <v>0.1191</v>
      </c>
      <c r="I136" s="210">
        <v>7.8899999999999998E-2</v>
      </c>
      <c r="J136" s="510"/>
      <c r="K136" s="510"/>
      <c r="L136" s="267">
        <f>E136*((F136*H136)+(G136*I136))</f>
        <v>1.7936460000000001E-2</v>
      </c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</row>
    <row r="137" spans="1:27" x14ac:dyDescent="0.25">
      <c r="A137" s="572"/>
      <c r="B137" s="207" t="s">
        <v>642</v>
      </c>
      <c r="C137" s="204" t="s">
        <v>643</v>
      </c>
      <c r="D137" s="207" t="s">
        <v>119</v>
      </c>
      <c r="E137" s="207">
        <v>0.48193000000000003</v>
      </c>
      <c r="F137" s="205">
        <v>1</v>
      </c>
      <c r="G137" s="205">
        <v>0</v>
      </c>
      <c r="H137" s="210">
        <v>8.9977</v>
      </c>
      <c r="I137" s="210">
        <v>2.0013999999999998</v>
      </c>
      <c r="J137" s="510"/>
      <c r="K137" s="510"/>
      <c r="L137" s="267">
        <f>E137*((F137*H137)+(G137*I137))</f>
        <v>4.3362615610000006</v>
      </c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</row>
    <row r="138" spans="1:27" x14ac:dyDescent="0.25">
      <c r="A138" s="572"/>
      <c r="B138" s="207" t="s">
        <v>645</v>
      </c>
      <c r="C138" s="204" t="s">
        <v>646</v>
      </c>
      <c r="D138" s="207" t="s">
        <v>119</v>
      </c>
      <c r="E138" s="207">
        <v>0.20080000000000001</v>
      </c>
      <c r="F138" s="205">
        <v>1</v>
      </c>
      <c r="G138" s="205">
        <v>0</v>
      </c>
      <c r="H138" s="210">
        <v>6.2241999999999997</v>
      </c>
      <c r="I138" s="210">
        <v>3.9470999999999998</v>
      </c>
      <c r="J138" s="510"/>
      <c r="K138" s="510"/>
      <c r="L138" s="267">
        <f t="shared" ref="L138:L139" si="10">E138*((F138*H138)+(G138*I138))</f>
        <v>1.24981936</v>
      </c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</row>
    <row r="139" spans="1:27" x14ac:dyDescent="0.25">
      <c r="A139" s="572"/>
      <c r="B139" s="207" t="s">
        <v>649</v>
      </c>
      <c r="C139" s="204" t="s">
        <v>650</v>
      </c>
      <c r="D139" s="207" t="s">
        <v>119</v>
      </c>
      <c r="E139" s="207">
        <v>0.48193000000000003</v>
      </c>
      <c r="F139" s="205">
        <v>1</v>
      </c>
      <c r="G139" s="205">
        <v>0</v>
      </c>
      <c r="H139" s="210">
        <v>3.6871</v>
      </c>
      <c r="I139" s="210">
        <v>2.3382000000000001</v>
      </c>
      <c r="J139" s="510"/>
      <c r="K139" s="510"/>
      <c r="L139" s="267">
        <f t="shared" si="10"/>
        <v>1.776924103</v>
      </c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</row>
    <row r="140" spans="1:27" x14ac:dyDescent="0.25">
      <c r="A140" s="519" t="s">
        <v>644</v>
      </c>
      <c r="B140" s="522"/>
      <c r="C140" s="522"/>
      <c r="D140" s="522"/>
      <c r="E140" s="522"/>
      <c r="F140" s="522"/>
      <c r="G140" s="522"/>
      <c r="H140" s="522"/>
      <c r="I140" s="522"/>
      <c r="J140" s="522"/>
      <c r="K140" s="523"/>
      <c r="L140" s="231">
        <f>SUM(L136:L139)</f>
        <v>7.3809414840000001</v>
      </c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</row>
    <row r="141" spans="1:27" x14ac:dyDescent="0.25">
      <c r="A141" s="573" t="s">
        <v>419</v>
      </c>
      <c r="B141" s="207" t="s">
        <v>652</v>
      </c>
      <c r="C141" s="233" t="s">
        <v>653</v>
      </c>
      <c r="D141" s="207" t="s">
        <v>119</v>
      </c>
      <c r="E141" s="207">
        <v>2</v>
      </c>
      <c r="F141" s="205"/>
      <c r="G141" s="205"/>
      <c r="H141" s="207"/>
      <c r="I141" s="207"/>
      <c r="J141" s="501">
        <v>13.3277</v>
      </c>
      <c r="K141" s="502"/>
      <c r="L141" s="267">
        <f>E141*J141</f>
        <v>26.6554</v>
      </c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</row>
    <row r="142" spans="1:27" x14ac:dyDescent="0.25">
      <c r="A142" s="574"/>
      <c r="B142" s="207" t="s">
        <v>655</v>
      </c>
      <c r="C142" s="233" t="s">
        <v>656</v>
      </c>
      <c r="D142" s="207" t="s">
        <v>119</v>
      </c>
      <c r="E142" s="207">
        <v>1</v>
      </c>
      <c r="F142" s="205"/>
      <c r="G142" s="205"/>
      <c r="H142" s="207"/>
      <c r="I142" s="207"/>
      <c r="J142" s="501">
        <v>21.6858</v>
      </c>
      <c r="K142" s="502"/>
      <c r="L142" s="267">
        <f t="shared" ref="L142:L144" si="11">E142*J142</f>
        <v>21.6858</v>
      </c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</row>
    <row r="143" spans="1:27" x14ac:dyDescent="0.25">
      <c r="A143" s="574"/>
      <c r="B143" s="207" t="s">
        <v>658</v>
      </c>
      <c r="C143" s="233" t="s">
        <v>659</v>
      </c>
      <c r="D143" s="207" t="s">
        <v>119</v>
      </c>
      <c r="E143" s="207">
        <v>1</v>
      </c>
      <c r="F143" s="205"/>
      <c r="G143" s="205"/>
      <c r="H143" s="207"/>
      <c r="I143" s="207"/>
      <c r="J143" s="501">
        <v>16.839600000000001</v>
      </c>
      <c r="K143" s="502"/>
      <c r="L143" s="267">
        <f t="shared" si="11"/>
        <v>16.839600000000001</v>
      </c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</row>
    <row r="144" spans="1:27" x14ac:dyDescent="0.25">
      <c r="A144" s="575"/>
      <c r="B144" s="207" t="s">
        <v>647</v>
      </c>
      <c r="C144" s="233" t="s">
        <v>648</v>
      </c>
      <c r="D144" s="207" t="s">
        <v>119</v>
      </c>
      <c r="E144" s="207">
        <v>2</v>
      </c>
      <c r="F144" s="205"/>
      <c r="G144" s="205"/>
      <c r="H144" s="207"/>
      <c r="I144" s="207"/>
      <c r="J144" s="501">
        <v>13.091200000000001</v>
      </c>
      <c r="K144" s="502"/>
      <c r="L144" s="267">
        <f t="shared" si="11"/>
        <v>26.182400000000001</v>
      </c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</row>
    <row r="145" spans="1:27" x14ac:dyDescent="0.25">
      <c r="A145" s="519" t="s">
        <v>651</v>
      </c>
      <c r="B145" s="522"/>
      <c r="C145" s="522"/>
      <c r="D145" s="522"/>
      <c r="E145" s="522"/>
      <c r="F145" s="522"/>
      <c r="G145" s="522"/>
      <c r="H145" s="522"/>
      <c r="I145" s="522"/>
      <c r="J145" s="522"/>
      <c r="K145" s="523"/>
      <c r="L145" s="231">
        <f>SUM(L141:L144)</f>
        <v>91.363200000000006</v>
      </c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</row>
    <row r="146" spans="1:27" x14ac:dyDescent="0.25">
      <c r="A146" s="519" t="s">
        <v>654</v>
      </c>
      <c r="B146" s="520"/>
      <c r="C146" s="520"/>
      <c r="D146" s="520"/>
      <c r="E146" s="520"/>
      <c r="F146" s="520"/>
      <c r="G146" s="520"/>
      <c r="H146" s="520"/>
      <c r="I146" s="520"/>
      <c r="J146" s="520"/>
      <c r="K146" s="521"/>
      <c r="L146" s="231">
        <f>L145+L140</f>
        <v>98.744141484000011</v>
      </c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</row>
    <row r="147" spans="1:27" ht="15.75" thickBot="1" x14ac:dyDescent="0.3">
      <c r="A147" s="576" t="s">
        <v>657</v>
      </c>
      <c r="B147" s="577"/>
      <c r="C147" s="577"/>
      <c r="D147" s="577"/>
      <c r="E147" s="577"/>
      <c r="F147" s="577"/>
      <c r="G147" s="577"/>
      <c r="H147" s="577"/>
      <c r="I147" s="577"/>
      <c r="J147" s="577"/>
      <c r="K147" s="578"/>
      <c r="L147" s="268">
        <f>L146/4</f>
        <v>24.686035371000003</v>
      </c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</row>
    <row r="148" spans="1:27" x14ac:dyDescent="0.25">
      <c r="A148" s="579" t="s">
        <v>662</v>
      </c>
      <c r="B148" s="269" t="s">
        <v>663</v>
      </c>
      <c r="C148" s="269" t="s">
        <v>664</v>
      </c>
      <c r="D148" s="270" t="s">
        <v>118</v>
      </c>
      <c r="E148" s="270">
        <v>12.72</v>
      </c>
      <c r="F148" s="269"/>
      <c r="G148" s="269"/>
      <c r="H148" s="269"/>
      <c r="I148" s="269"/>
      <c r="J148" s="515">
        <v>5.7830000000000004</v>
      </c>
      <c r="K148" s="516"/>
      <c r="L148" s="271">
        <f>E148*J148</f>
        <v>73.559760000000011</v>
      </c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</row>
    <row r="149" spans="1:27" x14ac:dyDescent="0.25">
      <c r="A149" s="524"/>
      <c r="B149" s="208" t="s">
        <v>741</v>
      </c>
      <c r="C149" s="208" t="s">
        <v>742</v>
      </c>
      <c r="D149" s="207" t="s">
        <v>19</v>
      </c>
      <c r="E149" s="207">
        <v>1</v>
      </c>
      <c r="F149" s="208"/>
      <c r="G149" s="208"/>
      <c r="H149" s="208"/>
      <c r="I149" s="208"/>
      <c r="J149" s="501">
        <v>551.95830000000001</v>
      </c>
      <c r="K149" s="502"/>
      <c r="L149" s="267">
        <f t="shared" ref="L149" si="12">E149*J149</f>
        <v>551.95830000000001</v>
      </c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</row>
    <row r="150" spans="1:27" x14ac:dyDescent="0.25">
      <c r="A150" s="509"/>
      <c r="B150" s="208"/>
      <c r="C150" s="208"/>
      <c r="D150" s="207"/>
      <c r="E150" s="207"/>
      <c r="F150" s="208"/>
      <c r="G150" s="208"/>
      <c r="H150" s="208"/>
      <c r="I150" s="208"/>
      <c r="J150" s="541"/>
      <c r="K150" s="523"/>
      <c r="L150" s="267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</row>
    <row r="151" spans="1:27" ht="15.75" thickBot="1" x14ac:dyDescent="0.3">
      <c r="A151" s="576" t="s">
        <v>669</v>
      </c>
      <c r="B151" s="580"/>
      <c r="C151" s="580"/>
      <c r="D151" s="580"/>
      <c r="E151" s="580"/>
      <c r="F151" s="580"/>
      <c r="G151" s="580"/>
      <c r="H151" s="580"/>
      <c r="I151" s="580"/>
      <c r="J151" s="580"/>
      <c r="K151" s="581"/>
      <c r="L151" s="234">
        <f>SUM(L148:L150)</f>
        <v>625.51805999999999</v>
      </c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</row>
    <row r="152" spans="1:27" ht="30" x14ac:dyDescent="0.25">
      <c r="A152" s="272" t="s">
        <v>670</v>
      </c>
      <c r="B152" s="275">
        <v>5212552</v>
      </c>
      <c r="C152" s="273" t="s">
        <v>671</v>
      </c>
      <c r="D152" s="275" t="s">
        <v>19</v>
      </c>
      <c r="E152" s="275">
        <v>1</v>
      </c>
      <c r="F152" s="274"/>
      <c r="G152" s="274"/>
      <c r="H152" s="274"/>
      <c r="I152" s="274"/>
      <c r="J152" s="582">
        <f>L165</f>
        <v>10.676543607285518</v>
      </c>
      <c r="K152" s="583"/>
      <c r="L152" s="276">
        <f>J152*E152</f>
        <v>10.676543607285518</v>
      </c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</row>
    <row r="153" spans="1:27" ht="30" x14ac:dyDescent="0.25">
      <c r="A153" s="584" t="s">
        <v>633</v>
      </c>
      <c r="B153" s="277" t="s">
        <v>672</v>
      </c>
      <c r="C153" s="278" t="s">
        <v>673</v>
      </c>
      <c r="D153" s="281" t="s">
        <v>119</v>
      </c>
      <c r="E153" s="279">
        <v>1</v>
      </c>
      <c r="F153" s="280">
        <v>1</v>
      </c>
      <c r="G153" s="280">
        <v>0</v>
      </c>
      <c r="H153" s="210">
        <v>37.447600000000001</v>
      </c>
      <c r="I153" s="210">
        <v>32.833100000000002</v>
      </c>
      <c r="J153" s="586"/>
      <c r="K153" s="586"/>
      <c r="L153" s="282">
        <f>E153*((F153*H153)+(G153*I153))</f>
        <v>37.447600000000001</v>
      </c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</row>
    <row r="154" spans="1:27" x14ac:dyDescent="0.25">
      <c r="A154" s="585"/>
      <c r="B154" s="277" t="s">
        <v>642</v>
      </c>
      <c r="C154" s="277" t="s">
        <v>643</v>
      </c>
      <c r="D154" s="281" t="s">
        <v>119</v>
      </c>
      <c r="E154" s="279">
        <v>1</v>
      </c>
      <c r="F154" s="280">
        <v>1</v>
      </c>
      <c r="G154" s="280">
        <v>0</v>
      </c>
      <c r="H154" s="210">
        <v>8.9977</v>
      </c>
      <c r="I154" s="210">
        <v>2.0013999999999998</v>
      </c>
      <c r="J154" s="586"/>
      <c r="K154" s="586"/>
      <c r="L154" s="282">
        <f>E154*((F154*H154)+(G154*I154))</f>
        <v>8.9977</v>
      </c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</row>
    <row r="155" spans="1:27" x14ac:dyDescent="0.25">
      <c r="A155" s="587" t="s">
        <v>644</v>
      </c>
      <c r="B155" s="588"/>
      <c r="C155" s="588"/>
      <c r="D155" s="588"/>
      <c r="E155" s="588"/>
      <c r="F155" s="588"/>
      <c r="G155" s="588"/>
      <c r="H155" s="588"/>
      <c r="I155" s="588"/>
      <c r="J155" s="588"/>
      <c r="K155" s="589"/>
      <c r="L155" s="283">
        <f>SUM(L153:L154)</f>
        <v>46.445300000000003</v>
      </c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</row>
    <row r="156" spans="1:27" x14ac:dyDescent="0.25">
      <c r="A156" s="584" t="s">
        <v>419</v>
      </c>
      <c r="B156" s="277" t="s">
        <v>652</v>
      </c>
      <c r="C156" s="277" t="s">
        <v>653</v>
      </c>
      <c r="D156" s="281" t="s">
        <v>119</v>
      </c>
      <c r="E156" s="279">
        <v>1</v>
      </c>
      <c r="F156" s="277"/>
      <c r="G156" s="277"/>
      <c r="H156" s="277"/>
      <c r="I156" s="277"/>
      <c r="J156" s="501">
        <v>13.3277</v>
      </c>
      <c r="K156" s="502"/>
      <c r="L156" s="282">
        <f>E156*J156</f>
        <v>13.3277</v>
      </c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</row>
    <row r="157" spans="1:27" x14ac:dyDescent="0.25">
      <c r="A157" s="590"/>
      <c r="B157" s="277" t="s">
        <v>674</v>
      </c>
      <c r="C157" s="277" t="s">
        <v>675</v>
      </c>
      <c r="D157" s="281" t="s">
        <v>119</v>
      </c>
      <c r="E157" s="279">
        <v>1</v>
      </c>
      <c r="F157" s="277"/>
      <c r="G157" s="277"/>
      <c r="H157" s="277"/>
      <c r="I157" s="277"/>
      <c r="J157" s="525">
        <v>18.1678</v>
      </c>
      <c r="K157" s="525"/>
      <c r="L157" s="282">
        <f t="shared" ref="L157:L158" si="13">E157*J157</f>
        <v>18.1678</v>
      </c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</row>
    <row r="158" spans="1:27" x14ac:dyDescent="0.25">
      <c r="A158" s="585"/>
      <c r="B158" s="277" t="s">
        <v>647</v>
      </c>
      <c r="C158" s="277" t="s">
        <v>648</v>
      </c>
      <c r="D158" s="281" t="s">
        <v>119</v>
      </c>
      <c r="E158" s="279">
        <v>1</v>
      </c>
      <c r="F158" s="277"/>
      <c r="G158" s="277"/>
      <c r="H158" s="277"/>
      <c r="I158" s="277"/>
      <c r="J158" s="501">
        <v>13.091200000000001</v>
      </c>
      <c r="K158" s="502"/>
      <c r="L158" s="282">
        <f t="shared" si="13"/>
        <v>13.091200000000001</v>
      </c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</row>
    <row r="159" spans="1:27" x14ac:dyDescent="0.25">
      <c r="A159" s="587" t="s">
        <v>651</v>
      </c>
      <c r="B159" s="588"/>
      <c r="C159" s="588"/>
      <c r="D159" s="588"/>
      <c r="E159" s="588"/>
      <c r="F159" s="588"/>
      <c r="G159" s="588"/>
      <c r="H159" s="588"/>
      <c r="I159" s="588"/>
      <c r="J159" s="588"/>
      <c r="K159" s="589"/>
      <c r="L159" s="283">
        <f>SUM(L156:L158)</f>
        <v>44.5867</v>
      </c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</row>
    <row r="160" spans="1:27" x14ac:dyDescent="0.25">
      <c r="A160" s="587" t="s">
        <v>654</v>
      </c>
      <c r="B160" s="591"/>
      <c r="C160" s="591"/>
      <c r="D160" s="591"/>
      <c r="E160" s="591"/>
      <c r="F160" s="591"/>
      <c r="G160" s="591"/>
      <c r="H160" s="591"/>
      <c r="I160" s="591"/>
      <c r="J160" s="591"/>
      <c r="K160" s="592"/>
      <c r="L160" s="283">
        <f>L159+L155</f>
        <v>91.032000000000011</v>
      </c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</row>
    <row r="161" spans="1:27" x14ac:dyDescent="0.25">
      <c r="A161" s="587" t="s">
        <v>657</v>
      </c>
      <c r="B161" s="591"/>
      <c r="C161" s="591"/>
      <c r="D161" s="591"/>
      <c r="E161" s="591"/>
      <c r="F161" s="591"/>
      <c r="G161" s="591"/>
      <c r="H161" s="591"/>
      <c r="I161" s="591"/>
      <c r="J161" s="591"/>
      <c r="K161" s="592"/>
      <c r="L161" s="284">
        <f>L160/9.96</f>
        <v>9.1397590361445786</v>
      </c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</row>
    <row r="162" spans="1:27" x14ac:dyDescent="0.25">
      <c r="A162" s="285" t="s">
        <v>662</v>
      </c>
      <c r="B162" s="277" t="s">
        <v>676</v>
      </c>
      <c r="C162" s="277" t="s">
        <v>677</v>
      </c>
      <c r="D162" s="281" t="s">
        <v>118</v>
      </c>
      <c r="E162" s="281">
        <v>8.4500000000000006E-2</v>
      </c>
      <c r="F162" s="277"/>
      <c r="G162" s="277"/>
      <c r="H162" s="277"/>
      <c r="I162" s="277"/>
      <c r="J162" s="525">
        <v>18.1678</v>
      </c>
      <c r="K162" s="525"/>
      <c r="L162" s="282">
        <f t="shared" ref="L162" si="14">E162*J162</f>
        <v>1.5351791000000001</v>
      </c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</row>
    <row r="163" spans="1:27" ht="15.75" thickBot="1" x14ac:dyDescent="0.3">
      <c r="A163" s="593" t="s">
        <v>669</v>
      </c>
      <c r="B163" s="594"/>
      <c r="C163" s="594"/>
      <c r="D163" s="594"/>
      <c r="E163" s="594"/>
      <c r="F163" s="594"/>
      <c r="G163" s="594"/>
      <c r="H163" s="594"/>
      <c r="I163" s="594"/>
      <c r="J163" s="594"/>
      <c r="K163" s="595"/>
      <c r="L163" s="286">
        <f>SUM(L162)</f>
        <v>1.5351791000000001</v>
      </c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</row>
    <row r="164" spans="1:27" x14ac:dyDescent="0.25">
      <c r="A164" s="285" t="s">
        <v>678</v>
      </c>
      <c r="B164" s="277" t="s">
        <v>676</v>
      </c>
      <c r="C164" s="277" t="s">
        <v>679</v>
      </c>
      <c r="D164" s="281" t="s">
        <v>743</v>
      </c>
      <c r="E164" s="281">
        <v>8.0000000000000007E-5</v>
      </c>
      <c r="F164" s="277"/>
      <c r="G164" s="277"/>
      <c r="H164" s="277"/>
      <c r="I164" s="277"/>
      <c r="J164" s="596">
        <f>Y35</f>
        <v>20.068389261744969</v>
      </c>
      <c r="K164" s="597"/>
      <c r="L164" s="282">
        <f t="shared" ref="L164" si="15">E164*J164</f>
        <v>1.6054711409395977E-3</v>
      </c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</row>
    <row r="165" spans="1:27" ht="15.75" thickBot="1" x14ac:dyDescent="0.3">
      <c r="A165" s="598"/>
      <c r="B165" s="599"/>
      <c r="C165" s="599"/>
      <c r="D165" s="599"/>
      <c r="E165" s="599"/>
      <c r="F165" s="599"/>
      <c r="G165" s="599"/>
      <c r="H165" s="599"/>
      <c r="I165" s="599"/>
      <c r="J165" s="599"/>
      <c r="K165" s="599"/>
      <c r="L165" s="287">
        <f>L164+L163+L161</f>
        <v>10.676543607285518</v>
      </c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</row>
    <row r="166" spans="1:27" x14ac:dyDescent="0.25">
      <c r="A166" s="600" t="s">
        <v>678</v>
      </c>
      <c r="B166" s="288" t="s">
        <v>663</v>
      </c>
      <c r="C166" s="288" t="s">
        <v>682</v>
      </c>
      <c r="D166" s="289" t="s">
        <v>680</v>
      </c>
      <c r="E166" s="289">
        <v>1.272E-2</v>
      </c>
      <c r="F166" s="288"/>
      <c r="G166" s="288"/>
      <c r="H166" s="288"/>
      <c r="I166" s="288"/>
      <c r="J166" s="602">
        <f>Y11</f>
        <v>16.414234207764956</v>
      </c>
      <c r="K166" s="603"/>
      <c r="L166" s="290">
        <f t="shared" ref="L166:L167" si="16">E166*J166</f>
        <v>0.20878905912277024</v>
      </c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</row>
    <row r="167" spans="1:27" x14ac:dyDescent="0.25">
      <c r="A167" s="601"/>
      <c r="B167" s="291" t="s">
        <v>741</v>
      </c>
      <c r="C167" s="291" t="s">
        <v>744</v>
      </c>
      <c r="D167" s="292" t="s">
        <v>680</v>
      </c>
      <c r="E167" s="292">
        <v>5.2999999999999998E-4</v>
      </c>
      <c r="F167" s="291"/>
      <c r="G167" s="291"/>
      <c r="H167" s="291"/>
      <c r="I167" s="291"/>
      <c r="J167" s="604">
        <f>Y23</f>
        <v>21.324672021419008</v>
      </c>
      <c r="K167" s="605"/>
      <c r="L167" s="290">
        <f t="shared" si="16"/>
        <v>1.1302076171352074E-2</v>
      </c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</row>
    <row r="168" spans="1:27" x14ac:dyDescent="0.25">
      <c r="A168" s="606" t="s">
        <v>745</v>
      </c>
      <c r="B168" s="607"/>
      <c r="C168" s="607"/>
      <c r="D168" s="607"/>
      <c r="E168" s="607"/>
      <c r="F168" s="607"/>
      <c r="G168" s="607"/>
      <c r="H168" s="607"/>
      <c r="I168" s="607"/>
      <c r="J168" s="607"/>
      <c r="K168" s="608"/>
      <c r="L168" s="293">
        <f>L166+L167</f>
        <v>0.2200911352941223</v>
      </c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</row>
    <row r="169" spans="1:27" ht="15.75" thickBot="1" x14ac:dyDescent="0.3">
      <c r="A169" s="609" t="s">
        <v>746</v>
      </c>
      <c r="B169" s="610"/>
      <c r="C169" s="610"/>
      <c r="D169" s="610"/>
      <c r="E169" s="610"/>
      <c r="F169" s="610"/>
      <c r="G169" s="610"/>
      <c r="H169" s="610"/>
      <c r="I169" s="610"/>
      <c r="J169" s="610"/>
      <c r="K169" s="610"/>
      <c r="L169" s="294">
        <f>L168+L151+L147+L152</f>
        <v>661.10073011357963</v>
      </c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</row>
    <row r="170" spans="1:27" x14ac:dyDescent="0.25">
      <c r="A170" s="193"/>
      <c r="B170" s="194"/>
      <c r="C170" s="194"/>
      <c r="D170" s="194"/>
      <c r="E170" s="245"/>
      <c r="F170" s="194"/>
      <c r="G170" s="194"/>
      <c r="H170" s="194"/>
      <c r="I170" s="194"/>
      <c r="J170" s="194"/>
      <c r="K170" s="194"/>
      <c r="L170" s="19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</row>
    <row r="171" spans="1:27" x14ac:dyDescent="0.25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</row>
    <row r="172" spans="1:27" ht="15.75" thickBot="1" x14ac:dyDescent="0.3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</row>
    <row r="173" spans="1:27" ht="15.75" thickBot="1" x14ac:dyDescent="0.3">
      <c r="A173" s="497" t="s">
        <v>350</v>
      </c>
      <c r="B173" s="185" t="s">
        <v>17</v>
      </c>
      <c r="C173" s="499" t="s">
        <v>747</v>
      </c>
      <c r="D173" s="497" t="s">
        <v>624</v>
      </c>
      <c r="E173" s="497" t="s">
        <v>625</v>
      </c>
      <c r="F173" s="497" t="s">
        <v>626</v>
      </c>
      <c r="G173" s="497"/>
      <c r="H173" s="497" t="s">
        <v>627</v>
      </c>
      <c r="I173" s="497"/>
      <c r="J173" s="497" t="s">
        <v>628</v>
      </c>
      <c r="K173" s="497"/>
      <c r="L173" s="497" t="s">
        <v>629</v>
      </c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</row>
    <row r="174" spans="1:27" x14ac:dyDescent="0.25">
      <c r="A174" s="498"/>
      <c r="B174" s="186">
        <v>5213863</v>
      </c>
      <c r="C174" s="500"/>
      <c r="D174" s="498"/>
      <c r="E174" s="498"/>
      <c r="F174" s="185" t="s">
        <v>631</v>
      </c>
      <c r="G174" s="185" t="s">
        <v>632</v>
      </c>
      <c r="H174" s="185" t="s">
        <v>631</v>
      </c>
      <c r="I174" s="185" t="s">
        <v>632</v>
      </c>
      <c r="J174" s="498"/>
      <c r="K174" s="498"/>
      <c r="L174" s="498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</row>
    <row r="175" spans="1:27" x14ac:dyDescent="0.25">
      <c r="A175" s="494" t="s">
        <v>633</v>
      </c>
      <c r="B175" s="215" t="s">
        <v>660</v>
      </c>
      <c r="C175" s="187" t="s">
        <v>694</v>
      </c>
      <c r="D175" s="215" t="s">
        <v>119</v>
      </c>
      <c r="E175" s="215">
        <v>1</v>
      </c>
      <c r="F175" s="97">
        <v>0.3</v>
      </c>
      <c r="G175" s="97">
        <v>0.7</v>
      </c>
      <c r="H175" s="210">
        <v>106.93049999999999</v>
      </c>
      <c r="I175" s="210">
        <v>33.688800000000001</v>
      </c>
      <c r="J175" s="490"/>
      <c r="K175" s="491"/>
      <c r="L175" s="220">
        <f>E175*((F175*H175)+(G175*I175))</f>
        <v>55.66131</v>
      </c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</row>
    <row r="176" spans="1:27" x14ac:dyDescent="0.25">
      <c r="A176" s="496"/>
      <c r="B176" s="215"/>
      <c r="C176" s="187"/>
      <c r="D176" s="215"/>
      <c r="E176" s="215"/>
      <c r="F176" s="97"/>
      <c r="G176" s="97"/>
      <c r="H176" s="215"/>
      <c r="I176" s="215"/>
      <c r="J176" s="490"/>
      <c r="K176" s="491"/>
      <c r="L176" s="220">
        <f>E176*((F176*H176)+(G176*I176))</f>
        <v>0</v>
      </c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</row>
    <row r="177" spans="1:27" x14ac:dyDescent="0.25">
      <c r="A177" s="496"/>
      <c r="B177" s="215"/>
      <c r="C177" s="187"/>
      <c r="D177" s="215"/>
      <c r="E177" s="215"/>
      <c r="F177" s="97"/>
      <c r="G177" s="97"/>
      <c r="H177" s="215"/>
      <c r="I177" s="215"/>
      <c r="J177" s="490"/>
      <c r="K177" s="491"/>
      <c r="L177" s="220">
        <f>E177*((F177*H177)+(G177*I177))</f>
        <v>0</v>
      </c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</row>
    <row r="178" spans="1:27" x14ac:dyDescent="0.25">
      <c r="A178" s="496"/>
      <c r="B178" s="215"/>
      <c r="C178" s="187"/>
      <c r="D178" s="215"/>
      <c r="E178" s="215"/>
      <c r="F178" s="97"/>
      <c r="G178" s="97"/>
      <c r="H178" s="215"/>
      <c r="I178" s="215"/>
      <c r="J178" s="490"/>
      <c r="K178" s="491"/>
      <c r="L178" s="220">
        <f>E178*((F178*H178)+(G178*I178))</f>
        <v>0</v>
      </c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</row>
    <row r="179" spans="1:27" x14ac:dyDescent="0.25">
      <c r="A179" s="495"/>
      <c r="B179" s="215"/>
      <c r="C179" s="187"/>
      <c r="D179" s="215"/>
      <c r="E179" s="215"/>
      <c r="F179" s="97"/>
      <c r="G179" s="97"/>
      <c r="H179" s="215"/>
      <c r="I179" s="215"/>
      <c r="J179" s="490"/>
      <c r="K179" s="491"/>
      <c r="L179" s="220">
        <f>E179*((F179*H179)+(G179*I179))</f>
        <v>0</v>
      </c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</row>
    <row r="180" spans="1:27" x14ac:dyDescent="0.25">
      <c r="A180" s="492" t="s">
        <v>644</v>
      </c>
      <c r="B180" s="493"/>
      <c r="C180" s="493"/>
      <c r="D180" s="493"/>
      <c r="E180" s="493"/>
      <c r="F180" s="493"/>
      <c r="G180" s="493"/>
      <c r="H180" s="493"/>
      <c r="I180" s="493"/>
      <c r="J180" s="493"/>
      <c r="K180" s="491"/>
      <c r="L180" s="224">
        <f>SUM(L175:L179)</f>
        <v>55.66131</v>
      </c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</row>
    <row r="181" spans="1:27" x14ac:dyDescent="0.25">
      <c r="A181" s="503" t="s">
        <v>419</v>
      </c>
      <c r="B181" s="215" t="s">
        <v>658</v>
      </c>
      <c r="C181" s="187" t="s">
        <v>659</v>
      </c>
      <c r="D181" s="215" t="s">
        <v>119</v>
      </c>
      <c r="E181" s="97">
        <v>1</v>
      </c>
      <c r="F181" s="215"/>
      <c r="G181" s="215"/>
      <c r="H181" s="215"/>
      <c r="I181" s="215"/>
      <c r="J181" s="501">
        <v>16.839600000000001</v>
      </c>
      <c r="K181" s="502"/>
      <c r="L181" s="220">
        <f>E181*J181</f>
        <v>16.839600000000001</v>
      </c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</row>
    <row r="182" spans="1:27" x14ac:dyDescent="0.25">
      <c r="A182" s="504"/>
      <c r="B182" s="215" t="s">
        <v>647</v>
      </c>
      <c r="C182" s="187" t="s">
        <v>648</v>
      </c>
      <c r="D182" s="215" t="s">
        <v>119</v>
      </c>
      <c r="E182" s="97">
        <v>1</v>
      </c>
      <c r="F182" s="215"/>
      <c r="G182" s="215"/>
      <c r="H182" s="215"/>
      <c r="I182" s="215"/>
      <c r="J182" s="501">
        <v>13.091200000000001</v>
      </c>
      <c r="K182" s="502"/>
      <c r="L182" s="220">
        <f>E182*J182</f>
        <v>13.091200000000001</v>
      </c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</row>
    <row r="183" spans="1:27" x14ac:dyDescent="0.25">
      <c r="A183" s="504"/>
      <c r="B183" s="215"/>
      <c r="C183" s="187"/>
      <c r="D183" s="215"/>
      <c r="E183" s="97"/>
      <c r="F183" s="215"/>
      <c r="G183" s="215"/>
      <c r="H183" s="215"/>
      <c r="I183" s="215"/>
      <c r="J183" s="490"/>
      <c r="K183" s="491"/>
      <c r="L183" s="220">
        <f>E183*J183</f>
        <v>0</v>
      </c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</row>
    <row r="184" spans="1:27" x14ac:dyDescent="0.25">
      <c r="A184" s="505"/>
      <c r="B184" s="215"/>
      <c r="C184" s="187"/>
      <c r="D184" s="215"/>
      <c r="E184" s="97"/>
      <c r="F184" s="215"/>
      <c r="G184" s="215"/>
      <c r="H184" s="215"/>
      <c r="I184" s="215"/>
      <c r="J184" s="490"/>
      <c r="K184" s="491"/>
      <c r="L184" s="220">
        <f>E184*J184</f>
        <v>0</v>
      </c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</row>
    <row r="185" spans="1:27" x14ac:dyDescent="0.25">
      <c r="A185" s="492" t="s">
        <v>651</v>
      </c>
      <c r="B185" s="493"/>
      <c r="C185" s="493"/>
      <c r="D185" s="493"/>
      <c r="E185" s="493"/>
      <c r="F185" s="493"/>
      <c r="G185" s="493"/>
      <c r="H185" s="493"/>
      <c r="I185" s="493"/>
      <c r="J185" s="493"/>
      <c r="K185" s="491"/>
      <c r="L185" s="224">
        <f>SUM(L181:L184)</f>
        <v>29.930800000000001</v>
      </c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</row>
    <row r="186" spans="1:27" x14ac:dyDescent="0.25">
      <c r="A186" s="492" t="s">
        <v>654</v>
      </c>
      <c r="B186" s="460"/>
      <c r="C186" s="460"/>
      <c r="D186" s="460"/>
      <c r="E186" s="460"/>
      <c r="F186" s="460"/>
      <c r="G186" s="460"/>
      <c r="H186" s="460"/>
      <c r="I186" s="460"/>
      <c r="J186" s="460"/>
      <c r="K186" s="461"/>
      <c r="L186" s="224">
        <f>L185+L180</f>
        <v>85.592110000000005</v>
      </c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</row>
    <row r="187" spans="1:27" ht="15.75" thickBot="1" x14ac:dyDescent="0.3">
      <c r="A187" s="506" t="s">
        <v>657</v>
      </c>
      <c r="B187" s="507"/>
      <c r="C187" s="507"/>
      <c r="D187" s="507"/>
      <c r="E187" s="507"/>
      <c r="F187" s="507"/>
      <c r="G187" s="507"/>
      <c r="H187" s="507"/>
      <c r="I187" s="507"/>
      <c r="J187" s="507"/>
      <c r="K187" s="513"/>
      <c r="L187" s="226">
        <f>L186/4.1</f>
        <v>20.876124390243906</v>
      </c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</row>
    <row r="188" spans="1:27" ht="15.75" thickBot="1" x14ac:dyDescent="0.3">
      <c r="A188" s="514" t="s">
        <v>662</v>
      </c>
      <c r="B188" s="195" t="s">
        <v>698</v>
      </c>
      <c r="C188" s="195" t="s">
        <v>699</v>
      </c>
      <c r="D188" s="214" t="s">
        <v>118</v>
      </c>
      <c r="E188" s="195">
        <v>1.0581199999999999</v>
      </c>
      <c r="F188" s="195"/>
      <c r="G188" s="195"/>
      <c r="H188" s="195"/>
      <c r="I188" s="195"/>
      <c r="J188" s="515">
        <v>5.4341999999999997</v>
      </c>
      <c r="K188" s="516"/>
      <c r="L188" s="227">
        <f>E188*J188</f>
        <v>5.7500357039999992</v>
      </c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</row>
    <row r="189" spans="1:27" x14ac:dyDescent="0.25">
      <c r="A189" s="504"/>
      <c r="B189" s="95" t="s">
        <v>700</v>
      </c>
      <c r="C189" s="95" t="s">
        <v>701</v>
      </c>
      <c r="D189" s="214" t="s">
        <v>118</v>
      </c>
      <c r="E189" s="95">
        <v>14.742000000000001</v>
      </c>
      <c r="F189" s="95"/>
      <c r="G189" s="95"/>
      <c r="H189" s="95"/>
      <c r="I189" s="95"/>
      <c r="J189" s="501">
        <v>15.152100000000001</v>
      </c>
      <c r="K189" s="502"/>
      <c r="L189" s="220">
        <f t="shared" ref="L189:L190" si="17">E189*J189</f>
        <v>223.37225820000003</v>
      </c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</row>
    <row r="190" spans="1:27" x14ac:dyDescent="0.25">
      <c r="A190" s="505"/>
      <c r="B190" s="95"/>
      <c r="C190" s="95"/>
      <c r="D190" s="215"/>
      <c r="E190" s="95"/>
      <c r="F190" s="95"/>
      <c r="G190" s="95"/>
      <c r="H190" s="95"/>
      <c r="I190" s="95"/>
      <c r="J190" s="490"/>
      <c r="K190" s="491"/>
      <c r="L190" s="220">
        <f t="shared" si="17"/>
        <v>0</v>
      </c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</row>
    <row r="191" spans="1:27" ht="15.75" thickBot="1" x14ac:dyDescent="0.3">
      <c r="A191" s="506" t="s">
        <v>669</v>
      </c>
      <c r="B191" s="517"/>
      <c r="C191" s="517"/>
      <c r="D191" s="517"/>
      <c r="E191" s="517"/>
      <c r="F191" s="517"/>
      <c r="G191" s="517"/>
      <c r="H191" s="517"/>
      <c r="I191" s="517"/>
      <c r="J191" s="517"/>
      <c r="K191" s="518"/>
      <c r="L191" s="226">
        <f>SUM(L188:L190)</f>
        <v>229.12229390400003</v>
      </c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</row>
    <row r="192" spans="1:27" ht="30" x14ac:dyDescent="0.25">
      <c r="A192" s="198" t="s">
        <v>670</v>
      </c>
      <c r="B192" s="202">
        <v>1107892</v>
      </c>
      <c r="C192" s="199" t="s">
        <v>702</v>
      </c>
      <c r="D192" s="202" t="s">
        <v>19</v>
      </c>
      <c r="E192" s="201">
        <v>3.2000000000000001E-2</v>
      </c>
      <c r="F192" s="201"/>
      <c r="G192" s="201"/>
      <c r="H192" s="201"/>
      <c r="I192" s="201"/>
      <c r="J192" s="511">
        <f>L214</f>
        <v>304.68804735144801</v>
      </c>
      <c r="K192" s="512"/>
      <c r="L192" s="228">
        <f>J192*E192</f>
        <v>9.750017515246336</v>
      </c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</row>
    <row r="193" spans="1:27" x14ac:dyDescent="0.25">
      <c r="A193" s="508" t="s">
        <v>633</v>
      </c>
      <c r="B193" s="208" t="s">
        <v>703</v>
      </c>
      <c r="C193" s="204" t="s">
        <v>704</v>
      </c>
      <c r="D193" s="207" t="s">
        <v>119</v>
      </c>
      <c r="E193" s="206">
        <v>1</v>
      </c>
      <c r="F193" s="206">
        <v>0.13</v>
      </c>
      <c r="G193" s="206">
        <v>0.87</v>
      </c>
      <c r="H193" s="229">
        <v>0.49730000000000002</v>
      </c>
      <c r="I193" s="229">
        <v>0.3337</v>
      </c>
      <c r="J193" s="510"/>
      <c r="K193" s="510"/>
      <c r="L193" s="230">
        <f>E193*((F193*H193)+(G193*I193))</f>
        <v>0.35496800000000001</v>
      </c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</row>
    <row r="194" spans="1:27" x14ac:dyDescent="0.25">
      <c r="A194" s="524"/>
      <c r="B194" s="208" t="s">
        <v>705</v>
      </c>
      <c r="C194" s="208" t="s">
        <v>706</v>
      </c>
      <c r="D194" s="207" t="s">
        <v>119</v>
      </c>
      <c r="E194" s="206">
        <v>1</v>
      </c>
      <c r="F194" s="206">
        <v>1</v>
      </c>
      <c r="G194" s="206">
        <v>0</v>
      </c>
      <c r="H194" s="229">
        <v>30.639900000000001</v>
      </c>
      <c r="I194" s="229">
        <v>23.433399999999999</v>
      </c>
      <c r="J194" s="510"/>
      <c r="K194" s="510"/>
      <c r="L194" s="230">
        <f>E194*((F194*H194)+(G194*I194))</f>
        <v>30.639900000000001</v>
      </c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</row>
    <row r="195" spans="1:27" x14ac:dyDescent="0.25">
      <c r="A195" s="524"/>
      <c r="B195" s="208" t="s">
        <v>707</v>
      </c>
      <c r="C195" s="208" t="s">
        <v>708</v>
      </c>
      <c r="D195" s="207" t="s">
        <v>119</v>
      </c>
      <c r="E195" s="206">
        <v>4</v>
      </c>
      <c r="F195" s="206">
        <v>0.95</v>
      </c>
      <c r="G195" s="206">
        <v>0.05</v>
      </c>
      <c r="H195" s="229">
        <v>0.2999</v>
      </c>
      <c r="I195" s="229">
        <v>0.20380000000000001</v>
      </c>
      <c r="J195" s="510"/>
      <c r="K195" s="510"/>
      <c r="L195" s="230">
        <f>E195*((F195*H195)+(G195*I195))</f>
        <v>1.1803799999999998</v>
      </c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</row>
    <row r="196" spans="1:27" x14ac:dyDescent="0.25">
      <c r="A196" s="509"/>
      <c r="B196" s="208" t="s">
        <v>710</v>
      </c>
      <c r="C196" s="208" t="s">
        <v>711</v>
      </c>
      <c r="D196" s="207" t="s">
        <v>119</v>
      </c>
      <c r="E196" s="206">
        <v>3</v>
      </c>
      <c r="F196" s="206">
        <v>0.37</v>
      </c>
      <c r="G196" s="206">
        <v>0.63</v>
      </c>
      <c r="H196" s="229">
        <v>0.72540000000000004</v>
      </c>
      <c r="I196" s="229">
        <v>0.4929</v>
      </c>
      <c r="J196" s="510"/>
      <c r="K196" s="510"/>
      <c r="L196" s="230">
        <f t="shared" ref="L196" si="18">E196*((F196*H196)+(G196*I196))</f>
        <v>1.7367750000000002</v>
      </c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</row>
    <row r="197" spans="1:27" x14ac:dyDescent="0.25">
      <c r="A197" s="519" t="s">
        <v>644</v>
      </c>
      <c r="B197" s="522"/>
      <c r="C197" s="522"/>
      <c r="D197" s="522"/>
      <c r="E197" s="522"/>
      <c r="F197" s="522"/>
      <c r="G197" s="522"/>
      <c r="H197" s="522"/>
      <c r="I197" s="522"/>
      <c r="J197" s="522"/>
      <c r="K197" s="523"/>
      <c r="L197" s="231">
        <f>SUM(L193:L196)</f>
        <v>33.912023000000005</v>
      </c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</row>
    <row r="198" spans="1:27" x14ac:dyDescent="0.25">
      <c r="A198" s="508" t="s">
        <v>419</v>
      </c>
      <c r="B198" s="208" t="s">
        <v>712</v>
      </c>
      <c r="C198" s="208" t="s">
        <v>713</v>
      </c>
      <c r="D198" s="207" t="s">
        <v>119</v>
      </c>
      <c r="E198" s="206">
        <v>1</v>
      </c>
      <c r="F198" s="208"/>
      <c r="G198" s="208"/>
      <c r="H198" s="208"/>
      <c r="I198" s="208"/>
      <c r="J198" s="525">
        <v>17.420000000000002</v>
      </c>
      <c r="K198" s="525"/>
      <c r="L198" s="230">
        <f>E198*J198</f>
        <v>17.420000000000002</v>
      </c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</row>
    <row r="199" spans="1:27" x14ac:dyDescent="0.25">
      <c r="A199" s="524"/>
      <c r="B199" s="208" t="s">
        <v>647</v>
      </c>
      <c r="C199" s="208" t="s">
        <v>648</v>
      </c>
      <c r="D199" s="207" t="s">
        <v>119</v>
      </c>
      <c r="E199" s="206">
        <v>10</v>
      </c>
      <c r="F199" s="208"/>
      <c r="G199" s="208"/>
      <c r="H199" s="208"/>
      <c r="I199" s="208"/>
      <c r="J199" s="525">
        <v>13.091200000000001</v>
      </c>
      <c r="K199" s="525"/>
      <c r="L199" s="230">
        <f t="shared" ref="L199:L200" si="19">E199*J199</f>
        <v>130.91200000000001</v>
      </c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</row>
    <row r="200" spans="1:27" x14ac:dyDescent="0.25">
      <c r="A200" s="509"/>
      <c r="B200" s="208"/>
      <c r="C200" s="208"/>
      <c r="D200" s="207"/>
      <c r="E200" s="206"/>
      <c r="F200" s="208"/>
      <c r="G200" s="208"/>
      <c r="H200" s="208"/>
      <c r="I200" s="208"/>
      <c r="J200" s="510"/>
      <c r="K200" s="510"/>
      <c r="L200" s="230">
        <f t="shared" si="19"/>
        <v>0</v>
      </c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</row>
    <row r="201" spans="1:27" x14ac:dyDescent="0.25">
      <c r="A201" s="519" t="s">
        <v>715</v>
      </c>
      <c r="B201" s="522"/>
      <c r="C201" s="522"/>
      <c r="D201" s="522"/>
      <c r="E201" s="522"/>
      <c r="F201" s="522"/>
      <c r="G201" s="522"/>
      <c r="H201" s="522"/>
      <c r="I201" s="522"/>
      <c r="J201" s="522"/>
      <c r="K201" s="523"/>
      <c r="L201" s="231">
        <f>SUM(L198:L200)</f>
        <v>148.33199999999999</v>
      </c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</row>
    <row r="202" spans="1:27" x14ac:dyDescent="0.25">
      <c r="A202" s="519" t="s">
        <v>654</v>
      </c>
      <c r="B202" s="520"/>
      <c r="C202" s="520"/>
      <c r="D202" s="520"/>
      <c r="E202" s="520"/>
      <c r="F202" s="520"/>
      <c r="G202" s="520"/>
      <c r="H202" s="520"/>
      <c r="I202" s="520"/>
      <c r="J202" s="520"/>
      <c r="K202" s="521"/>
      <c r="L202" s="231">
        <f>L201+L197</f>
        <v>182.244023</v>
      </c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</row>
    <row r="203" spans="1:27" x14ac:dyDescent="0.25">
      <c r="A203" s="519" t="s">
        <v>657</v>
      </c>
      <c r="B203" s="520"/>
      <c r="C203" s="520"/>
      <c r="D203" s="520"/>
      <c r="E203" s="520"/>
      <c r="F203" s="520"/>
      <c r="G203" s="520"/>
      <c r="H203" s="520"/>
      <c r="I203" s="520"/>
      <c r="J203" s="520"/>
      <c r="K203" s="521"/>
      <c r="L203" s="231">
        <f>L202/3.62</f>
        <v>50.343652762430935</v>
      </c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</row>
    <row r="204" spans="1:27" x14ac:dyDescent="0.25">
      <c r="A204" s="508" t="s">
        <v>662</v>
      </c>
      <c r="B204" s="208" t="s">
        <v>716</v>
      </c>
      <c r="C204" s="208" t="s">
        <v>717</v>
      </c>
      <c r="D204" s="207" t="s">
        <v>29</v>
      </c>
      <c r="E204" s="208">
        <v>0.61585999999999996</v>
      </c>
      <c r="F204" s="208"/>
      <c r="G204" s="208"/>
      <c r="H204" s="208"/>
      <c r="I204" s="208"/>
      <c r="J204" s="525">
        <v>61.463500000000003</v>
      </c>
      <c r="K204" s="525"/>
      <c r="L204" s="230">
        <f t="shared" ref="L204:L206" si="20">E204*J204</f>
        <v>37.852911110000001</v>
      </c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</row>
    <row r="205" spans="1:27" x14ac:dyDescent="0.25">
      <c r="A205" s="524"/>
      <c r="B205" s="208" t="s">
        <v>718</v>
      </c>
      <c r="C205" s="208" t="s">
        <v>719</v>
      </c>
      <c r="D205" s="207" t="s">
        <v>29</v>
      </c>
      <c r="E205" s="208">
        <v>0.36753999999999998</v>
      </c>
      <c r="F205" s="208"/>
      <c r="G205" s="208"/>
      <c r="H205" s="208"/>
      <c r="I205" s="208"/>
      <c r="J205" s="525">
        <v>79.939099999999996</v>
      </c>
      <c r="K205" s="525"/>
      <c r="L205" s="230">
        <f t="shared" si="20"/>
        <v>29.380816813999996</v>
      </c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</row>
    <row r="206" spans="1:27" x14ac:dyDescent="0.25">
      <c r="A206" s="524"/>
      <c r="B206" s="208" t="s">
        <v>720</v>
      </c>
      <c r="C206" s="208" t="s">
        <v>721</v>
      </c>
      <c r="D206" s="207" t="s">
        <v>29</v>
      </c>
      <c r="E206" s="208">
        <v>0.36753999999999998</v>
      </c>
      <c r="F206" s="208"/>
      <c r="G206" s="208"/>
      <c r="H206" s="208"/>
      <c r="I206" s="208"/>
      <c r="J206" s="525">
        <v>79.062200000000004</v>
      </c>
      <c r="K206" s="525"/>
      <c r="L206" s="230">
        <f t="shared" si="20"/>
        <v>29.058520988000001</v>
      </c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</row>
    <row r="207" spans="1:27" x14ac:dyDescent="0.25">
      <c r="A207" s="509"/>
      <c r="B207" s="208" t="s">
        <v>722</v>
      </c>
      <c r="C207" s="208" t="s">
        <v>723</v>
      </c>
      <c r="D207" s="207" t="s">
        <v>724</v>
      </c>
      <c r="E207" s="208">
        <v>313.50229000000002</v>
      </c>
      <c r="F207" s="208"/>
      <c r="G207" s="208"/>
      <c r="H207" s="208"/>
      <c r="I207" s="208"/>
      <c r="J207" s="525">
        <v>0.47699999999999998</v>
      </c>
      <c r="K207" s="525"/>
      <c r="L207" s="230">
        <f>E207*J207</f>
        <v>149.54059233000001</v>
      </c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</row>
    <row r="208" spans="1:27" x14ac:dyDescent="0.25">
      <c r="A208" s="519" t="s">
        <v>669</v>
      </c>
      <c r="B208" s="522"/>
      <c r="C208" s="522"/>
      <c r="D208" s="522"/>
      <c r="E208" s="522"/>
      <c r="F208" s="522"/>
      <c r="G208" s="522"/>
      <c r="H208" s="522"/>
      <c r="I208" s="522"/>
      <c r="J208" s="522"/>
      <c r="K208" s="523"/>
      <c r="L208" s="231">
        <f>SUM(L204:L207)</f>
        <v>245.832841242</v>
      </c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</row>
    <row r="209" spans="1:27" x14ac:dyDescent="0.25">
      <c r="A209" s="542" t="s">
        <v>678</v>
      </c>
      <c r="B209" s="232">
        <v>5914647</v>
      </c>
      <c r="C209" s="233" t="s">
        <v>725</v>
      </c>
      <c r="D209" s="207" t="s">
        <v>680</v>
      </c>
      <c r="E209" s="207">
        <v>0.92379</v>
      </c>
      <c r="F209" s="207"/>
      <c r="G209" s="207"/>
      <c r="H209" s="207"/>
      <c r="I209" s="207"/>
      <c r="J209" s="545">
        <f>Y59</f>
        <v>1.0955893987199132</v>
      </c>
      <c r="K209" s="523"/>
      <c r="L209" s="230">
        <f t="shared" ref="L209:L212" si="21">E209*J209</f>
        <v>1.0120945306434685</v>
      </c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</row>
    <row r="210" spans="1:27" x14ac:dyDescent="0.25">
      <c r="A210" s="543"/>
      <c r="B210" s="232">
        <v>5914647</v>
      </c>
      <c r="C210" s="233" t="s">
        <v>726</v>
      </c>
      <c r="D210" s="207" t="s">
        <v>680</v>
      </c>
      <c r="E210" s="207">
        <v>0.55130999999999997</v>
      </c>
      <c r="F210" s="207"/>
      <c r="G210" s="207"/>
      <c r="H210" s="207"/>
      <c r="I210" s="207"/>
      <c r="J210" s="545">
        <f>Y59</f>
        <v>1.0955893987199132</v>
      </c>
      <c r="K210" s="523"/>
      <c r="L210" s="230">
        <f t="shared" si="21"/>
        <v>0.60400939140827536</v>
      </c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</row>
    <row r="211" spans="1:27" x14ac:dyDescent="0.25">
      <c r="A211" s="543"/>
      <c r="B211" s="232">
        <v>5914647</v>
      </c>
      <c r="C211" s="233" t="s">
        <v>727</v>
      </c>
      <c r="D211" s="207" t="s">
        <v>680</v>
      </c>
      <c r="E211" s="207">
        <v>0.55130999999999997</v>
      </c>
      <c r="F211" s="207"/>
      <c r="G211" s="207"/>
      <c r="H211" s="207"/>
      <c r="I211" s="207"/>
      <c r="J211" s="545">
        <f>Y59</f>
        <v>1.0955893987199132</v>
      </c>
      <c r="K211" s="523"/>
      <c r="L211" s="230">
        <f t="shared" si="21"/>
        <v>0.60400939140827536</v>
      </c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</row>
    <row r="212" spans="1:27" x14ac:dyDescent="0.25">
      <c r="A212" s="544"/>
      <c r="B212" s="232">
        <v>5914655</v>
      </c>
      <c r="C212" s="233" t="s">
        <v>728</v>
      </c>
      <c r="D212" s="207" t="s">
        <v>680</v>
      </c>
      <c r="E212" s="207">
        <v>0.3135</v>
      </c>
      <c r="F212" s="207"/>
      <c r="G212" s="207"/>
      <c r="H212" s="207"/>
      <c r="I212" s="207"/>
      <c r="J212" s="545">
        <f>Y72</f>
        <v>20.068389261744969</v>
      </c>
      <c r="K212" s="523"/>
      <c r="L212" s="230">
        <f t="shared" si="21"/>
        <v>6.2914400335570475</v>
      </c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</row>
    <row r="213" spans="1:27" x14ac:dyDescent="0.25">
      <c r="A213" s="546" t="s">
        <v>729</v>
      </c>
      <c r="B213" s="547"/>
      <c r="C213" s="547"/>
      <c r="D213" s="547"/>
      <c r="E213" s="547"/>
      <c r="F213" s="547"/>
      <c r="G213" s="547"/>
      <c r="H213" s="547"/>
      <c r="I213" s="547"/>
      <c r="J213" s="547"/>
      <c r="K213" s="548"/>
      <c r="L213" s="231">
        <f>SUM(L209:L212)</f>
        <v>8.5115533470170668</v>
      </c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</row>
    <row r="214" spans="1:27" ht="15.75" thickBot="1" x14ac:dyDescent="0.3">
      <c r="A214" s="536" t="s">
        <v>681</v>
      </c>
      <c r="B214" s="537"/>
      <c r="C214" s="537"/>
      <c r="D214" s="537"/>
      <c r="E214" s="537"/>
      <c r="F214" s="537"/>
      <c r="G214" s="537"/>
      <c r="H214" s="537"/>
      <c r="I214" s="537"/>
      <c r="J214" s="537"/>
      <c r="K214" s="537"/>
      <c r="L214" s="234">
        <f>L208+L203+L213</f>
        <v>304.68804735144801</v>
      </c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</row>
    <row r="215" spans="1:27" ht="30" x14ac:dyDescent="0.25">
      <c r="A215" s="198" t="s">
        <v>670</v>
      </c>
      <c r="B215" s="202">
        <v>4805750</v>
      </c>
      <c r="C215" s="199" t="s">
        <v>730</v>
      </c>
      <c r="D215" s="202" t="s">
        <v>19</v>
      </c>
      <c r="E215" s="201">
        <v>3.2000000000000001E-2</v>
      </c>
      <c r="F215" s="201"/>
      <c r="G215" s="201"/>
      <c r="H215" s="201"/>
      <c r="I215" s="201"/>
      <c r="J215" s="511">
        <f>L228</f>
        <v>27.684900000000003</v>
      </c>
      <c r="K215" s="512"/>
      <c r="L215" s="228">
        <f>J215*E215</f>
        <v>0.88591680000000006</v>
      </c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</row>
    <row r="216" spans="1:27" x14ac:dyDescent="0.25">
      <c r="A216" s="235"/>
      <c r="B216" s="208"/>
      <c r="C216" s="204"/>
      <c r="D216" s="207"/>
      <c r="E216" s="206"/>
      <c r="F216" s="206"/>
      <c r="G216" s="206"/>
      <c r="H216" s="208"/>
      <c r="I216" s="208"/>
      <c r="J216" s="510"/>
      <c r="K216" s="510"/>
      <c r="L216" s="230">
        <f>E216*((F216*H216)+(G216*I216))</f>
        <v>0</v>
      </c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</row>
    <row r="217" spans="1:27" x14ac:dyDescent="0.25">
      <c r="A217" s="235"/>
      <c r="B217" s="208"/>
      <c r="C217" s="208"/>
      <c r="D217" s="207"/>
      <c r="E217" s="206"/>
      <c r="F217" s="206"/>
      <c r="G217" s="206"/>
      <c r="H217" s="208"/>
      <c r="I217" s="208"/>
      <c r="J217" s="510"/>
      <c r="K217" s="510"/>
      <c r="L217" s="230">
        <f>E217*((F217*H217)+(G217*I217))</f>
        <v>0</v>
      </c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</row>
    <row r="218" spans="1:27" x14ac:dyDescent="0.25">
      <c r="A218" s="519" t="s">
        <v>644</v>
      </c>
      <c r="B218" s="522"/>
      <c r="C218" s="522"/>
      <c r="D218" s="522"/>
      <c r="E218" s="522"/>
      <c r="F218" s="522"/>
      <c r="G218" s="522"/>
      <c r="H218" s="522"/>
      <c r="I218" s="522"/>
      <c r="J218" s="522"/>
      <c r="K218" s="523"/>
      <c r="L218" s="231">
        <f>SUM(L216:L217)</f>
        <v>0</v>
      </c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</row>
    <row r="219" spans="1:27" x14ac:dyDescent="0.25">
      <c r="A219" s="235"/>
      <c r="B219" s="208" t="s">
        <v>647</v>
      </c>
      <c r="C219" s="208" t="s">
        <v>648</v>
      </c>
      <c r="D219" s="207" t="s">
        <v>119</v>
      </c>
      <c r="E219" s="206">
        <v>1</v>
      </c>
      <c r="F219" s="208"/>
      <c r="G219" s="208"/>
      <c r="H219" s="208"/>
      <c r="I219" s="208"/>
      <c r="J219" s="525">
        <v>13.091200000000001</v>
      </c>
      <c r="K219" s="525"/>
      <c r="L219" s="230">
        <f>E219*J219</f>
        <v>13.091200000000001</v>
      </c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</row>
    <row r="220" spans="1:27" x14ac:dyDescent="0.25">
      <c r="A220" s="235"/>
      <c r="B220" s="208"/>
      <c r="C220" s="208"/>
      <c r="D220" s="207"/>
      <c r="E220" s="206"/>
      <c r="F220" s="208"/>
      <c r="G220" s="208"/>
      <c r="H220" s="208"/>
      <c r="I220" s="208"/>
      <c r="J220" s="510"/>
      <c r="K220" s="510"/>
      <c r="L220" s="230">
        <f t="shared" ref="L220:L221" si="22">E220*J220</f>
        <v>0</v>
      </c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</row>
    <row r="221" spans="1:27" x14ac:dyDescent="0.25">
      <c r="A221" s="235"/>
      <c r="B221" s="208"/>
      <c r="C221" s="208"/>
      <c r="D221" s="207"/>
      <c r="E221" s="206"/>
      <c r="F221" s="208"/>
      <c r="G221" s="208"/>
      <c r="H221" s="208"/>
      <c r="I221" s="208"/>
      <c r="J221" s="510"/>
      <c r="K221" s="510"/>
      <c r="L221" s="230">
        <f t="shared" si="22"/>
        <v>0</v>
      </c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</row>
    <row r="222" spans="1:27" x14ac:dyDescent="0.25">
      <c r="A222" s="519" t="s">
        <v>651</v>
      </c>
      <c r="B222" s="522"/>
      <c r="C222" s="522"/>
      <c r="D222" s="522"/>
      <c r="E222" s="522"/>
      <c r="F222" s="522"/>
      <c r="G222" s="522"/>
      <c r="H222" s="522"/>
      <c r="I222" s="522"/>
      <c r="J222" s="522"/>
      <c r="K222" s="523"/>
      <c r="L222" s="231">
        <f>SUM(L219:L221)</f>
        <v>13.091200000000001</v>
      </c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</row>
    <row r="223" spans="1:27" x14ac:dyDescent="0.25">
      <c r="A223" s="519" t="s">
        <v>654</v>
      </c>
      <c r="B223" s="520"/>
      <c r="C223" s="520"/>
      <c r="D223" s="520"/>
      <c r="E223" s="520"/>
      <c r="F223" s="520"/>
      <c r="G223" s="520"/>
      <c r="H223" s="520"/>
      <c r="I223" s="520"/>
      <c r="J223" s="520"/>
      <c r="K223" s="521"/>
      <c r="L223" s="231">
        <f>L222+L218</f>
        <v>13.091200000000001</v>
      </c>
      <c r="M223" s="154"/>
      <c r="N223" s="154"/>
      <c r="O223" s="154"/>
      <c r="P223" s="154"/>
      <c r="Q223" s="154"/>
      <c r="R223" s="154"/>
      <c r="S223" s="154"/>
      <c r="T223" s="154"/>
      <c r="U223" s="154"/>
      <c r="V223" s="154"/>
      <c r="W223" s="154"/>
      <c r="X223" s="154"/>
      <c r="Y223" s="154"/>
      <c r="Z223" s="154"/>
      <c r="AA223" s="154"/>
    </row>
    <row r="224" spans="1:27" x14ac:dyDescent="0.25">
      <c r="A224" s="519" t="s">
        <v>657</v>
      </c>
      <c r="B224" s="520"/>
      <c r="C224" s="520"/>
      <c r="D224" s="520"/>
      <c r="E224" s="520"/>
      <c r="F224" s="520"/>
      <c r="G224" s="520"/>
      <c r="H224" s="520"/>
      <c r="I224" s="520"/>
      <c r="J224" s="520"/>
      <c r="K224" s="521"/>
      <c r="L224" s="231">
        <f>L223/0.5</f>
        <v>26.182400000000001</v>
      </c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</row>
    <row r="225" spans="1:27" x14ac:dyDescent="0.25">
      <c r="A225" s="235"/>
      <c r="B225" s="208"/>
      <c r="C225" s="208"/>
      <c r="D225" s="207"/>
      <c r="E225" s="208"/>
      <c r="F225" s="208"/>
      <c r="G225" s="208"/>
      <c r="H225" s="208"/>
      <c r="I225" s="208"/>
      <c r="J225" s="510"/>
      <c r="K225" s="510"/>
      <c r="L225" s="230">
        <f>E225*J225</f>
        <v>0</v>
      </c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</row>
    <row r="226" spans="1:27" x14ac:dyDescent="0.25">
      <c r="A226" s="519" t="s">
        <v>669</v>
      </c>
      <c r="B226" s="522"/>
      <c r="C226" s="522"/>
      <c r="D226" s="522"/>
      <c r="E226" s="522"/>
      <c r="F226" s="522"/>
      <c r="G226" s="522"/>
      <c r="H226" s="522"/>
      <c r="I226" s="522"/>
      <c r="J226" s="522"/>
      <c r="K226" s="523"/>
      <c r="L226" s="231">
        <f>SUM(L225)</f>
        <v>0</v>
      </c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</row>
    <row r="227" spans="1:27" x14ac:dyDescent="0.25">
      <c r="A227" s="235"/>
      <c r="B227" s="208"/>
      <c r="C227" s="208"/>
      <c r="D227" s="207"/>
      <c r="E227" s="208"/>
      <c r="F227" s="208"/>
      <c r="G227" s="208"/>
      <c r="H227" s="208"/>
      <c r="I227" s="208"/>
      <c r="J227" s="236" t="s">
        <v>731</v>
      </c>
      <c r="K227" s="237"/>
      <c r="L227" s="230">
        <v>1.5024999999999999</v>
      </c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</row>
    <row r="228" spans="1:27" ht="15.75" thickBot="1" x14ac:dyDescent="0.3">
      <c r="A228" s="536" t="s">
        <v>681</v>
      </c>
      <c r="B228" s="537"/>
      <c r="C228" s="537"/>
      <c r="D228" s="537"/>
      <c r="E228" s="537"/>
      <c r="F228" s="537"/>
      <c r="G228" s="537"/>
      <c r="H228" s="537"/>
      <c r="I228" s="537"/>
      <c r="J228" s="537"/>
      <c r="K228" s="537"/>
      <c r="L228" s="234">
        <f>L227+L226+L224</f>
        <v>27.684900000000003</v>
      </c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</row>
    <row r="229" spans="1:27" ht="30" x14ac:dyDescent="0.25">
      <c r="A229" s="529" t="s">
        <v>678</v>
      </c>
      <c r="B229" s="239" t="s">
        <v>698</v>
      </c>
      <c r="C229" s="238" t="s">
        <v>732</v>
      </c>
      <c r="D229" s="239" t="s">
        <v>680</v>
      </c>
      <c r="E229" s="239">
        <v>1.06E-3</v>
      </c>
      <c r="F229" s="239"/>
      <c r="G229" s="239"/>
      <c r="H229" s="239"/>
      <c r="I229" s="239"/>
      <c r="J229" s="549">
        <f>Y23</f>
        <v>21.324672021419008</v>
      </c>
      <c r="K229" s="550"/>
      <c r="L229" s="240">
        <f>E229*J229</f>
        <v>2.2604152342704149E-2</v>
      </c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</row>
    <row r="230" spans="1:27" x14ac:dyDescent="0.25">
      <c r="A230" s="530"/>
      <c r="B230" s="158" t="s">
        <v>700</v>
      </c>
      <c r="C230" s="123" t="s">
        <v>748</v>
      </c>
      <c r="D230" s="158" t="s">
        <v>680</v>
      </c>
      <c r="E230" s="158">
        <v>1.474E-2</v>
      </c>
      <c r="F230" s="158"/>
      <c r="G230" s="158"/>
      <c r="H230" s="158"/>
      <c r="I230" s="158"/>
      <c r="J230" s="551">
        <f>Y23</f>
        <v>21.324672021419008</v>
      </c>
      <c r="K230" s="470"/>
      <c r="L230" s="241">
        <f t="shared" ref="L230:L231" si="23">E230*J230</f>
        <v>0.31432566559571617</v>
      </c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</row>
    <row r="231" spans="1:27" ht="30" x14ac:dyDescent="0.25">
      <c r="A231" s="530"/>
      <c r="B231" s="158">
        <v>4805750</v>
      </c>
      <c r="C231" s="104" t="s">
        <v>734</v>
      </c>
      <c r="D231" s="158" t="s">
        <v>680</v>
      </c>
      <c r="E231" s="158">
        <v>0.06</v>
      </c>
      <c r="F231" s="158"/>
      <c r="G231" s="158"/>
      <c r="H231" s="158"/>
      <c r="I231" s="158"/>
      <c r="J231" s="551">
        <f>Y46</f>
        <v>44.437665562913907</v>
      </c>
      <c r="K231" s="470"/>
      <c r="L231" s="241">
        <f t="shared" si="23"/>
        <v>2.6662599337748345</v>
      </c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</row>
    <row r="232" spans="1:27" ht="15.75" thickBot="1" x14ac:dyDescent="0.3">
      <c r="A232" s="552" t="s">
        <v>685</v>
      </c>
      <c r="B232" s="553"/>
      <c r="C232" s="553"/>
      <c r="D232" s="553"/>
      <c r="E232" s="553"/>
      <c r="F232" s="553"/>
      <c r="G232" s="553"/>
      <c r="H232" s="553"/>
      <c r="I232" s="553"/>
      <c r="J232" s="553"/>
      <c r="K232" s="554"/>
      <c r="L232" s="242">
        <f>SUM(L229:L231)</f>
        <v>3.0031897517132546</v>
      </c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</row>
    <row r="233" spans="1:27" ht="15.75" thickBot="1" x14ac:dyDescent="0.3">
      <c r="A233" s="526" t="s">
        <v>749</v>
      </c>
      <c r="B233" s="527"/>
      <c r="C233" s="527"/>
      <c r="D233" s="527"/>
      <c r="E233" s="527"/>
      <c r="F233" s="527"/>
      <c r="G233" s="527"/>
      <c r="H233" s="527"/>
      <c r="I233" s="527"/>
      <c r="J233" s="527"/>
      <c r="K233" s="528"/>
      <c r="L233" s="243">
        <f>L232+L215+L192+L191+L187</f>
        <v>263.63754236120354</v>
      </c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</row>
    <row r="234" spans="1:27" x14ac:dyDescent="0.25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</row>
    <row r="235" spans="1:27" x14ac:dyDescent="0.25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</row>
    <row r="236" spans="1:27" ht="15.75" thickBot="1" x14ac:dyDescent="0.3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</row>
    <row r="237" spans="1:27" ht="15.75" thickBot="1" x14ac:dyDescent="0.3">
      <c r="A237" s="497" t="s">
        <v>351</v>
      </c>
      <c r="B237" s="185" t="s">
        <v>17</v>
      </c>
      <c r="C237" s="499" t="s">
        <v>750</v>
      </c>
      <c r="D237" s="497" t="s">
        <v>624</v>
      </c>
      <c r="E237" s="497" t="s">
        <v>625</v>
      </c>
      <c r="F237" s="497" t="s">
        <v>626</v>
      </c>
      <c r="G237" s="497"/>
      <c r="H237" s="497" t="s">
        <v>627</v>
      </c>
      <c r="I237" s="497"/>
      <c r="J237" s="497" t="s">
        <v>628</v>
      </c>
      <c r="K237" s="497"/>
      <c r="L237" s="497" t="s">
        <v>629</v>
      </c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</row>
    <row r="238" spans="1:27" ht="15.75" thickBot="1" x14ac:dyDescent="0.3">
      <c r="A238" s="497"/>
      <c r="B238" s="247">
        <v>5213464</v>
      </c>
      <c r="C238" s="555"/>
      <c r="D238" s="497"/>
      <c r="E238" s="497"/>
      <c r="F238" s="248" t="s">
        <v>631</v>
      </c>
      <c r="G238" s="248" t="s">
        <v>632</v>
      </c>
      <c r="H238" s="248" t="s">
        <v>631</v>
      </c>
      <c r="I238" s="248" t="s">
        <v>632</v>
      </c>
      <c r="J238" s="497"/>
      <c r="K238" s="497"/>
      <c r="L238" s="497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</row>
    <row r="239" spans="1:27" x14ac:dyDescent="0.25">
      <c r="A239" s="496" t="s">
        <v>633</v>
      </c>
      <c r="B239" s="249" t="s">
        <v>660</v>
      </c>
      <c r="C239" s="250" t="s">
        <v>661</v>
      </c>
      <c r="D239" s="249" t="s">
        <v>119</v>
      </c>
      <c r="E239" s="249">
        <v>1</v>
      </c>
      <c r="F239" s="251">
        <v>0.3</v>
      </c>
      <c r="G239" s="251">
        <v>0.7</v>
      </c>
      <c r="H239" s="210">
        <v>106.93049999999999</v>
      </c>
      <c r="I239" s="210">
        <v>33.688800000000001</v>
      </c>
      <c r="J239" s="556"/>
      <c r="K239" s="557"/>
      <c r="L239" s="252">
        <f>E239*((F239*H239)+(G239*I239))</f>
        <v>55.66131</v>
      </c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</row>
    <row r="240" spans="1:27" x14ac:dyDescent="0.25">
      <c r="A240" s="496"/>
      <c r="B240" s="215"/>
      <c r="C240" s="187"/>
      <c r="D240" s="215"/>
      <c r="E240" s="215"/>
      <c r="F240" s="97"/>
      <c r="G240" s="97"/>
      <c r="H240" s="215"/>
      <c r="I240" s="215"/>
      <c r="J240" s="490"/>
      <c r="K240" s="491"/>
      <c r="L240" s="253">
        <f>E240*((F240*H240)+(G240*I240))</f>
        <v>0</v>
      </c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</row>
    <row r="241" spans="1:27" x14ac:dyDescent="0.25">
      <c r="A241" s="496"/>
      <c r="B241" s="215"/>
      <c r="C241" s="187"/>
      <c r="D241" s="215"/>
      <c r="E241" s="215"/>
      <c r="F241" s="97"/>
      <c r="G241" s="97"/>
      <c r="H241" s="215"/>
      <c r="I241" s="215"/>
      <c r="J241" s="490"/>
      <c r="K241" s="491"/>
      <c r="L241" s="253">
        <f>E241*((F241*H241)+(G241*I241))</f>
        <v>0</v>
      </c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</row>
    <row r="242" spans="1:27" x14ac:dyDescent="0.25">
      <c r="A242" s="496"/>
      <c r="B242" s="215"/>
      <c r="C242" s="187"/>
      <c r="D242" s="215"/>
      <c r="E242" s="215"/>
      <c r="F242" s="97"/>
      <c r="G242" s="97"/>
      <c r="H242" s="215"/>
      <c r="I242" s="215"/>
      <c r="J242" s="490"/>
      <c r="K242" s="491"/>
      <c r="L242" s="253">
        <f>E242*((F242*H242)+(G242*I242))</f>
        <v>0</v>
      </c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</row>
    <row r="243" spans="1:27" x14ac:dyDescent="0.25">
      <c r="A243" s="495"/>
      <c r="B243" s="215"/>
      <c r="C243" s="187"/>
      <c r="D243" s="215"/>
      <c r="E243" s="215"/>
      <c r="F243" s="97"/>
      <c r="G243" s="97"/>
      <c r="H243" s="215"/>
      <c r="I243" s="215"/>
      <c r="J243" s="490"/>
      <c r="K243" s="491"/>
      <c r="L243" s="253">
        <f>E243*((F243*H243)+(G243*I243))</f>
        <v>0</v>
      </c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</row>
    <row r="244" spans="1:27" x14ac:dyDescent="0.25">
      <c r="A244" s="492" t="s">
        <v>644</v>
      </c>
      <c r="B244" s="493"/>
      <c r="C244" s="493"/>
      <c r="D244" s="493"/>
      <c r="E244" s="493"/>
      <c r="F244" s="493"/>
      <c r="G244" s="493"/>
      <c r="H244" s="493"/>
      <c r="I244" s="493"/>
      <c r="J244" s="493"/>
      <c r="K244" s="491"/>
      <c r="L244" s="224">
        <f>SUM(L239:L243)</f>
        <v>55.66131</v>
      </c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</row>
    <row r="245" spans="1:27" x14ac:dyDescent="0.25">
      <c r="A245" s="503" t="s">
        <v>419</v>
      </c>
      <c r="B245" s="215"/>
      <c r="C245" s="187"/>
      <c r="D245" s="215"/>
      <c r="E245" s="97"/>
      <c r="F245" s="215"/>
      <c r="G245" s="215"/>
      <c r="H245" s="215"/>
      <c r="I245" s="215"/>
      <c r="J245" s="490"/>
      <c r="K245" s="491"/>
      <c r="L245" s="253">
        <f>E245*J245</f>
        <v>0</v>
      </c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</row>
    <row r="246" spans="1:27" x14ac:dyDescent="0.25">
      <c r="A246" s="504"/>
      <c r="B246" s="215" t="s">
        <v>655</v>
      </c>
      <c r="C246" s="187" t="s">
        <v>656</v>
      </c>
      <c r="D246" s="215" t="s">
        <v>119</v>
      </c>
      <c r="E246" s="97">
        <v>1</v>
      </c>
      <c r="F246" s="215"/>
      <c r="G246" s="215"/>
      <c r="H246" s="215"/>
      <c r="I246" s="215"/>
      <c r="J246" s="501">
        <v>21.6858</v>
      </c>
      <c r="K246" s="502"/>
      <c r="L246" s="253">
        <f>E246*J246</f>
        <v>21.6858</v>
      </c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</row>
    <row r="247" spans="1:27" x14ac:dyDescent="0.25">
      <c r="A247" s="504"/>
      <c r="B247" s="215"/>
      <c r="C247" s="187"/>
      <c r="D247" s="215"/>
      <c r="E247" s="97"/>
      <c r="F247" s="215"/>
      <c r="G247" s="215"/>
      <c r="H247" s="215"/>
      <c r="I247" s="215"/>
      <c r="J247" s="476"/>
      <c r="K247" s="611"/>
      <c r="L247" s="253">
        <f>E247*J247</f>
        <v>0</v>
      </c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</row>
    <row r="248" spans="1:27" x14ac:dyDescent="0.25">
      <c r="A248" s="505"/>
      <c r="B248" s="215" t="s">
        <v>647</v>
      </c>
      <c r="C248" s="187" t="s">
        <v>648</v>
      </c>
      <c r="D248" s="215" t="s">
        <v>119</v>
      </c>
      <c r="E248" s="97">
        <v>2</v>
      </c>
      <c r="F248" s="215"/>
      <c r="G248" s="215"/>
      <c r="H248" s="215"/>
      <c r="I248" s="215"/>
      <c r="J248" s="501">
        <v>13.091200000000001</v>
      </c>
      <c r="K248" s="502"/>
      <c r="L248" s="253">
        <f>E248*J248</f>
        <v>26.182400000000001</v>
      </c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</row>
    <row r="249" spans="1:27" x14ac:dyDescent="0.25">
      <c r="A249" s="492" t="s">
        <v>651</v>
      </c>
      <c r="B249" s="493"/>
      <c r="C249" s="493"/>
      <c r="D249" s="493"/>
      <c r="E249" s="493"/>
      <c r="F249" s="493"/>
      <c r="G249" s="493"/>
      <c r="H249" s="493"/>
      <c r="I249" s="493"/>
      <c r="J249" s="493"/>
      <c r="K249" s="491"/>
      <c r="L249" s="224">
        <f>SUM(L245:L248)</f>
        <v>47.868200000000002</v>
      </c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4"/>
      <c r="Z249" s="154"/>
      <c r="AA249" s="154"/>
    </row>
    <row r="250" spans="1:27" x14ac:dyDescent="0.25">
      <c r="A250" s="492" t="s">
        <v>654</v>
      </c>
      <c r="B250" s="460"/>
      <c r="C250" s="460"/>
      <c r="D250" s="460"/>
      <c r="E250" s="460"/>
      <c r="F250" s="460"/>
      <c r="G250" s="460"/>
      <c r="H250" s="460"/>
      <c r="I250" s="460"/>
      <c r="J250" s="460"/>
      <c r="K250" s="461"/>
      <c r="L250" s="224">
        <f>L249+L244</f>
        <v>103.52951</v>
      </c>
      <c r="M250" s="154"/>
      <c r="N250" s="154"/>
      <c r="O250" s="154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</row>
    <row r="251" spans="1:27" ht="15.75" thickBot="1" x14ac:dyDescent="0.3">
      <c r="A251" s="506" t="s">
        <v>657</v>
      </c>
      <c r="B251" s="507"/>
      <c r="C251" s="507"/>
      <c r="D251" s="507"/>
      <c r="E251" s="507"/>
      <c r="F251" s="507"/>
      <c r="G251" s="507"/>
      <c r="H251" s="507"/>
      <c r="I251" s="507"/>
      <c r="J251" s="507"/>
      <c r="K251" s="513"/>
      <c r="L251" s="254">
        <f>L250/3</f>
        <v>34.509836666666665</v>
      </c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</row>
    <row r="252" spans="1:27" x14ac:dyDescent="0.25">
      <c r="A252" s="514" t="s">
        <v>662</v>
      </c>
      <c r="B252" s="214"/>
      <c r="C252" s="195"/>
      <c r="D252" s="214"/>
      <c r="E252" s="214"/>
      <c r="F252" s="195"/>
      <c r="G252" s="195"/>
      <c r="H252" s="195"/>
      <c r="I252" s="195"/>
      <c r="J252" s="558"/>
      <c r="K252" s="559"/>
      <c r="L252" s="255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</row>
    <row r="253" spans="1:27" x14ac:dyDescent="0.25">
      <c r="A253" s="504"/>
      <c r="B253" s="215"/>
      <c r="C253" s="95"/>
      <c r="D253" s="215"/>
      <c r="E253" s="215"/>
      <c r="F253" s="95"/>
      <c r="G253" s="95"/>
      <c r="H253" s="95"/>
      <c r="I253" s="95"/>
      <c r="J253" s="490"/>
      <c r="K253" s="491"/>
      <c r="L253" s="253"/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54"/>
      <c r="Y253" s="154"/>
      <c r="Z253" s="154"/>
      <c r="AA253" s="154"/>
    </row>
    <row r="254" spans="1:27" x14ac:dyDescent="0.25">
      <c r="A254" s="505"/>
      <c r="B254" s="215"/>
      <c r="C254" s="95"/>
      <c r="D254" s="215"/>
      <c r="E254" s="215"/>
      <c r="F254" s="95"/>
      <c r="G254" s="95"/>
      <c r="H254" s="95"/>
      <c r="I254" s="95"/>
      <c r="J254" s="490"/>
      <c r="K254" s="491"/>
      <c r="L254" s="253"/>
      <c r="M254" s="154"/>
      <c r="N254" s="154"/>
      <c r="O254" s="154"/>
      <c r="P254" s="154"/>
      <c r="Q254" s="154"/>
      <c r="R254" s="154"/>
      <c r="S254" s="154"/>
      <c r="T254" s="154"/>
      <c r="U254" s="154"/>
      <c r="V254" s="154"/>
      <c r="W254" s="154"/>
      <c r="X254" s="154"/>
      <c r="Y254" s="154"/>
      <c r="Z254" s="154"/>
      <c r="AA254" s="154"/>
    </row>
    <row r="255" spans="1:27" ht="15.75" thickBot="1" x14ac:dyDescent="0.3">
      <c r="A255" s="506" t="s">
        <v>669</v>
      </c>
      <c r="B255" s="517"/>
      <c r="C255" s="517"/>
      <c r="D255" s="517"/>
      <c r="E255" s="517"/>
      <c r="F255" s="517"/>
      <c r="G255" s="517"/>
      <c r="H255" s="517"/>
      <c r="I255" s="517"/>
      <c r="J255" s="517"/>
      <c r="K255" s="518"/>
      <c r="L255" s="226">
        <f>SUM(L252:L254)</f>
        <v>0</v>
      </c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</row>
    <row r="256" spans="1:27" ht="30.75" thickBot="1" x14ac:dyDescent="0.3">
      <c r="A256" s="256" t="s">
        <v>670</v>
      </c>
      <c r="B256" s="260">
        <v>5213414</v>
      </c>
      <c r="C256" s="257" t="s">
        <v>736</v>
      </c>
      <c r="D256" s="260" t="s">
        <v>19</v>
      </c>
      <c r="E256" s="258">
        <v>0.36</v>
      </c>
      <c r="F256" s="259"/>
      <c r="G256" s="259"/>
      <c r="H256" s="259"/>
      <c r="I256" s="259"/>
      <c r="J256" s="560">
        <f>L299</f>
        <v>661.10073011357963</v>
      </c>
      <c r="K256" s="561"/>
      <c r="L256" s="261">
        <f>J256*E256</f>
        <v>237.99626284088865</v>
      </c>
      <c r="M256" s="154"/>
      <c r="N256" s="154"/>
      <c r="O256" s="154"/>
      <c r="P256" s="154"/>
      <c r="Q256" s="154"/>
      <c r="R256" s="154"/>
      <c r="S256" s="154"/>
      <c r="T256" s="154"/>
      <c r="U256" s="154"/>
      <c r="V256" s="154"/>
      <c r="W256" s="154"/>
      <c r="X256" s="154"/>
      <c r="Y256" s="154"/>
      <c r="Z256" s="154"/>
      <c r="AA256" s="154"/>
    </row>
    <row r="257" spans="1:27" ht="30" x14ac:dyDescent="0.25">
      <c r="A257" s="529" t="s">
        <v>678</v>
      </c>
      <c r="B257" s="214">
        <v>5213414</v>
      </c>
      <c r="C257" s="262" t="s">
        <v>737</v>
      </c>
      <c r="D257" s="214" t="s">
        <v>680</v>
      </c>
      <c r="E257" s="214">
        <v>4.7800000000000004E-3</v>
      </c>
      <c r="F257" s="195"/>
      <c r="G257" s="195"/>
      <c r="H257" s="195"/>
      <c r="I257" s="195"/>
      <c r="J257" s="531">
        <f>Y23</f>
        <v>21.324672021419008</v>
      </c>
      <c r="K257" s="532"/>
      <c r="L257" s="255">
        <f>E257*J257</f>
        <v>0.10193193226238287</v>
      </c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</row>
    <row r="258" spans="1:27" x14ac:dyDescent="0.25">
      <c r="A258" s="530"/>
      <c r="B258" s="215"/>
      <c r="C258" s="95"/>
      <c r="D258" s="215"/>
      <c r="E258" s="215"/>
      <c r="F258" s="95"/>
      <c r="G258" s="95"/>
      <c r="H258" s="95"/>
      <c r="I258" s="95"/>
      <c r="J258" s="533"/>
      <c r="K258" s="534"/>
      <c r="L258" s="253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</row>
    <row r="259" spans="1:27" x14ac:dyDescent="0.25">
      <c r="A259" s="530"/>
      <c r="B259" s="215"/>
      <c r="C259" s="95"/>
      <c r="D259" s="215"/>
      <c r="E259" s="215"/>
      <c r="F259" s="95"/>
      <c r="G259" s="95"/>
      <c r="H259" s="95"/>
      <c r="I259" s="95"/>
      <c r="J259" s="533"/>
      <c r="K259" s="534"/>
      <c r="L259" s="253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</row>
    <row r="260" spans="1:27" ht="15.75" thickBot="1" x14ac:dyDescent="0.3">
      <c r="A260" s="506" t="s">
        <v>685</v>
      </c>
      <c r="B260" s="517"/>
      <c r="C260" s="517"/>
      <c r="D260" s="517"/>
      <c r="E260" s="517"/>
      <c r="F260" s="517"/>
      <c r="G260" s="517"/>
      <c r="H260" s="517"/>
      <c r="I260" s="517"/>
      <c r="J260" s="517"/>
      <c r="K260" s="518"/>
      <c r="L260" s="226">
        <f>SUM(L257:L259)</f>
        <v>0.10193193226238287</v>
      </c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</row>
    <row r="261" spans="1:27" ht="15.75" thickBot="1" x14ac:dyDescent="0.3">
      <c r="A261" s="526" t="s">
        <v>751</v>
      </c>
      <c r="B261" s="527"/>
      <c r="C261" s="527"/>
      <c r="D261" s="527"/>
      <c r="E261" s="527"/>
      <c r="F261" s="527"/>
      <c r="G261" s="527"/>
      <c r="H261" s="527"/>
      <c r="I261" s="527"/>
      <c r="J261" s="527"/>
      <c r="K261" s="528"/>
      <c r="L261" s="243">
        <f>L260+L255+L251+L256</f>
        <v>272.60803143981769</v>
      </c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</row>
    <row r="262" spans="1:27" ht="15.75" thickBot="1" x14ac:dyDescent="0.3">
      <c r="A262" s="193"/>
      <c r="B262" s="245"/>
      <c r="C262" s="194"/>
      <c r="D262" s="194"/>
      <c r="E262" s="245"/>
      <c r="F262" s="194"/>
      <c r="G262" s="194"/>
      <c r="H262" s="194"/>
      <c r="I262" s="194"/>
      <c r="J262" s="194"/>
      <c r="K262" s="194"/>
      <c r="L262" s="26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</row>
    <row r="263" spans="1:27" ht="15.75" thickBot="1" x14ac:dyDescent="0.3">
      <c r="A263" s="565" t="s">
        <v>739</v>
      </c>
      <c r="B263" s="566"/>
      <c r="C263" s="566"/>
      <c r="D263" s="566"/>
      <c r="E263" s="566"/>
      <c r="F263" s="566"/>
      <c r="G263" s="566"/>
      <c r="H263" s="566"/>
      <c r="I263" s="566"/>
      <c r="J263" s="566"/>
      <c r="K263" s="566"/>
      <c r="L263" s="567"/>
      <c r="M263" s="154"/>
      <c r="N263" s="154"/>
      <c r="O263" s="154"/>
      <c r="P263" s="154"/>
      <c r="Q263" s="154"/>
      <c r="R263" s="154"/>
      <c r="S263" s="154"/>
      <c r="T263" s="154"/>
      <c r="U263" s="154"/>
      <c r="V263" s="154"/>
      <c r="W263" s="154"/>
      <c r="X263" s="154"/>
      <c r="Y263" s="154"/>
      <c r="Z263" s="154"/>
      <c r="AA263" s="154"/>
    </row>
    <row r="264" spans="1:27" ht="15.75" thickBot="1" x14ac:dyDescent="0.3">
      <c r="A264" s="568"/>
      <c r="B264" s="265" t="s">
        <v>17</v>
      </c>
      <c r="C264" s="570" t="s">
        <v>740</v>
      </c>
      <c r="D264" s="568" t="s">
        <v>624</v>
      </c>
      <c r="E264" s="568" t="s">
        <v>625</v>
      </c>
      <c r="F264" s="568" t="s">
        <v>626</v>
      </c>
      <c r="G264" s="568"/>
      <c r="H264" s="568" t="s">
        <v>627</v>
      </c>
      <c r="I264" s="568"/>
      <c r="J264" s="568" t="s">
        <v>628</v>
      </c>
      <c r="K264" s="568"/>
      <c r="L264" s="568" t="s">
        <v>629</v>
      </c>
      <c r="M264" s="154"/>
      <c r="N264" s="154"/>
      <c r="O264" s="154"/>
      <c r="P264" s="154"/>
      <c r="Q264" s="154"/>
      <c r="R264" s="154"/>
      <c r="S264" s="154"/>
      <c r="T264" s="154"/>
      <c r="U264" s="154"/>
      <c r="V264" s="154"/>
      <c r="W264" s="154"/>
      <c r="X264" s="154"/>
      <c r="Y264" s="154"/>
      <c r="Z264" s="154"/>
      <c r="AA264" s="154"/>
    </row>
    <row r="265" spans="1:27" x14ac:dyDescent="0.25">
      <c r="A265" s="569"/>
      <c r="B265" s="266">
        <v>5213414</v>
      </c>
      <c r="C265" s="571"/>
      <c r="D265" s="569"/>
      <c r="E265" s="569"/>
      <c r="F265" s="265" t="s">
        <v>631</v>
      </c>
      <c r="G265" s="265" t="s">
        <v>632</v>
      </c>
      <c r="H265" s="265" t="s">
        <v>631</v>
      </c>
      <c r="I265" s="265" t="s">
        <v>632</v>
      </c>
      <c r="J265" s="569"/>
      <c r="K265" s="569"/>
      <c r="L265" s="569"/>
      <c r="M265" s="154"/>
      <c r="N265" s="154"/>
      <c r="O265" s="154"/>
      <c r="P265" s="154"/>
      <c r="Q265" s="154"/>
      <c r="R265" s="154"/>
      <c r="S265" s="154"/>
      <c r="T265" s="154"/>
      <c r="U265" s="154"/>
      <c r="V265" s="154"/>
      <c r="W265" s="154"/>
      <c r="X265" s="154"/>
      <c r="Y265" s="154"/>
      <c r="Z265" s="154"/>
      <c r="AA265" s="154"/>
    </row>
    <row r="266" spans="1:27" x14ac:dyDescent="0.25">
      <c r="A266" s="572" t="s">
        <v>633</v>
      </c>
      <c r="B266" s="207" t="s">
        <v>638</v>
      </c>
      <c r="C266" s="233" t="s">
        <v>639</v>
      </c>
      <c r="D266" s="207" t="s">
        <v>119</v>
      </c>
      <c r="E266" s="207">
        <v>0.15060000000000001</v>
      </c>
      <c r="F266" s="205">
        <v>1</v>
      </c>
      <c r="G266" s="205">
        <v>0</v>
      </c>
      <c r="H266" s="210">
        <v>0.1191</v>
      </c>
      <c r="I266" s="210">
        <v>7.8899999999999998E-2</v>
      </c>
      <c r="J266" s="510"/>
      <c r="K266" s="510"/>
      <c r="L266" s="267">
        <f>E266*((F266*H266)+(G266*I266))</f>
        <v>1.7936460000000001E-2</v>
      </c>
      <c r="M266" s="154"/>
      <c r="N266" s="154"/>
      <c r="O266" s="154"/>
      <c r="P266" s="154"/>
      <c r="Q266" s="154"/>
      <c r="R266" s="154"/>
      <c r="S266" s="154"/>
      <c r="T266" s="154"/>
      <c r="U266" s="154"/>
      <c r="V266" s="154"/>
      <c r="W266" s="154"/>
      <c r="X266" s="154"/>
      <c r="Y266" s="154"/>
      <c r="Z266" s="154"/>
      <c r="AA266" s="154"/>
    </row>
    <row r="267" spans="1:27" x14ac:dyDescent="0.25">
      <c r="A267" s="572"/>
      <c r="B267" s="207" t="s">
        <v>642</v>
      </c>
      <c r="C267" s="204" t="s">
        <v>643</v>
      </c>
      <c r="D267" s="207" t="s">
        <v>119</v>
      </c>
      <c r="E267" s="207">
        <v>0.48193000000000003</v>
      </c>
      <c r="F267" s="205">
        <v>1</v>
      </c>
      <c r="G267" s="205">
        <v>0</v>
      </c>
      <c r="H267" s="210">
        <v>8.9977</v>
      </c>
      <c r="I267" s="210">
        <v>2.0013999999999998</v>
      </c>
      <c r="J267" s="510"/>
      <c r="K267" s="510"/>
      <c r="L267" s="267">
        <f>E267*((F267*H267)+(G267*I267))</f>
        <v>4.3362615610000006</v>
      </c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</row>
    <row r="268" spans="1:27" x14ac:dyDescent="0.25">
      <c r="A268" s="572"/>
      <c r="B268" s="207" t="s">
        <v>645</v>
      </c>
      <c r="C268" s="204" t="s">
        <v>646</v>
      </c>
      <c r="D268" s="207" t="s">
        <v>119</v>
      </c>
      <c r="E268" s="207">
        <v>0.20080000000000001</v>
      </c>
      <c r="F268" s="205">
        <v>1</v>
      </c>
      <c r="G268" s="205">
        <v>0</v>
      </c>
      <c r="H268" s="210">
        <v>6.2241999999999997</v>
      </c>
      <c r="I268" s="210">
        <v>3.9470999999999998</v>
      </c>
      <c r="J268" s="510"/>
      <c r="K268" s="510"/>
      <c r="L268" s="267">
        <f t="shared" ref="L268:L269" si="24">E268*((F268*H268)+(G268*I268))</f>
        <v>1.24981936</v>
      </c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</row>
    <row r="269" spans="1:27" x14ac:dyDescent="0.25">
      <c r="A269" s="572"/>
      <c r="B269" s="207" t="s">
        <v>649</v>
      </c>
      <c r="C269" s="204" t="s">
        <v>650</v>
      </c>
      <c r="D269" s="207" t="s">
        <v>119</v>
      </c>
      <c r="E269" s="207">
        <v>0.48193000000000003</v>
      </c>
      <c r="F269" s="205">
        <v>1</v>
      </c>
      <c r="G269" s="205">
        <v>0</v>
      </c>
      <c r="H269" s="210">
        <v>3.6871</v>
      </c>
      <c r="I269" s="210">
        <v>2.3382000000000001</v>
      </c>
      <c r="J269" s="510"/>
      <c r="K269" s="510"/>
      <c r="L269" s="267">
        <f t="shared" si="24"/>
        <v>1.776924103</v>
      </c>
      <c r="M269" s="154"/>
      <c r="N269" s="154"/>
      <c r="O269" s="154"/>
      <c r="P269" s="154"/>
      <c r="Q269" s="154"/>
      <c r="R269" s="154"/>
      <c r="S269" s="154"/>
      <c r="T269" s="154"/>
      <c r="U269" s="154"/>
      <c r="V269" s="154"/>
      <c r="W269" s="154"/>
      <c r="X269" s="154"/>
      <c r="Y269" s="154"/>
      <c r="Z269" s="154"/>
      <c r="AA269" s="154"/>
    </row>
    <row r="270" spans="1:27" x14ac:dyDescent="0.25">
      <c r="A270" s="519" t="s">
        <v>644</v>
      </c>
      <c r="B270" s="522"/>
      <c r="C270" s="522"/>
      <c r="D270" s="522"/>
      <c r="E270" s="522"/>
      <c r="F270" s="522"/>
      <c r="G270" s="522"/>
      <c r="H270" s="522"/>
      <c r="I270" s="522"/>
      <c r="J270" s="522"/>
      <c r="K270" s="523"/>
      <c r="L270" s="231">
        <f>SUM(L266:L269)</f>
        <v>7.3809414840000001</v>
      </c>
      <c r="M270" s="154"/>
      <c r="N270" s="154"/>
      <c r="O270" s="154"/>
      <c r="P270" s="154"/>
      <c r="Q270" s="154"/>
      <c r="R270" s="154"/>
      <c r="S270" s="154"/>
      <c r="T270" s="154"/>
      <c r="U270" s="154"/>
      <c r="V270" s="154"/>
      <c r="W270" s="154"/>
      <c r="X270" s="154"/>
      <c r="Y270" s="154"/>
      <c r="Z270" s="154"/>
      <c r="AA270" s="154"/>
    </row>
    <row r="271" spans="1:27" x14ac:dyDescent="0.25">
      <c r="A271" s="573" t="s">
        <v>419</v>
      </c>
      <c r="B271" s="207" t="s">
        <v>652</v>
      </c>
      <c r="C271" s="233" t="s">
        <v>653</v>
      </c>
      <c r="D271" s="207" t="s">
        <v>119</v>
      </c>
      <c r="E271" s="295">
        <v>2</v>
      </c>
      <c r="F271" s="205"/>
      <c r="G271" s="205"/>
      <c r="H271" s="207"/>
      <c r="I271" s="207"/>
      <c r="J271" s="501">
        <v>13.3277</v>
      </c>
      <c r="K271" s="502"/>
      <c r="L271" s="267">
        <f>E271*J271</f>
        <v>26.6554</v>
      </c>
      <c r="M271" s="154"/>
      <c r="N271" s="154"/>
      <c r="O271" s="154"/>
      <c r="P271" s="154"/>
      <c r="Q271" s="154"/>
      <c r="R271" s="154"/>
      <c r="S271" s="154"/>
      <c r="T271" s="154"/>
      <c r="U271" s="154"/>
      <c r="V271" s="154"/>
      <c r="W271" s="154"/>
      <c r="X271" s="154"/>
      <c r="Y271" s="154"/>
      <c r="Z271" s="154"/>
      <c r="AA271" s="154"/>
    </row>
    <row r="272" spans="1:27" x14ac:dyDescent="0.25">
      <c r="A272" s="574"/>
      <c r="B272" s="207" t="s">
        <v>655</v>
      </c>
      <c r="C272" s="233" t="s">
        <v>656</v>
      </c>
      <c r="D272" s="207" t="s">
        <v>119</v>
      </c>
      <c r="E272" s="295">
        <v>1</v>
      </c>
      <c r="F272" s="205"/>
      <c r="G272" s="205"/>
      <c r="H272" s="207"/>
      <c r="I272" s="207"/>
      <c r="J272" s="501">
        <v>21.6858</v>
      </c>
      <c r="K272" s="502"/>
      <c r="L272" s="267">
        <f t="shared" ref="L272:L274" si="25">E272*J272</f>
        <v>21.6858</v>
      </c>
      <c r="M272" s="154"/>
      <c r="N272" s="154"/>
      <c r="O272" s="154"/>
      <c r="P272" s="154"/>
      <c r="Q272" s="154"/>
      <c r="R272" s="154"/>
      <c r="S272" s="154"/>
      <c r="T272" s="154"/>
      <c r="U272" s="154"/>
      <c r="V272" s="154"/>
      <c r="W272" s="154"/>
      <c r="X272" s="154"/>
      <c r="Y272" s="154"/>
      <c r="Z272" s="154"/>
      <c r="AA272" s="154"/>
    </row>
    <row r="273" spans="1:27" x14ac:dyDescent="0.25">
      <c r="A273" s="574"/>
      <c r="B273" s="207" t="s">
        <v>658</v>
      </c>
      <c r="C273" s="233" t="s">
        <v>659</v>
      </c>
      <c r="D273" s="207" t="s">
        <v>119</v>
      </c>
      <c r="E273" s="295">
        <v>1</v>
      </c>
      <c r="F273" s="205"/>
      <c r="G273" s="205"/>
      <c r="H273" s="207"/>
      <c r="I273" s="207"/>
      <c r="J273" s="501">
        <v>16.839600000000001</v>
      </c>
      <c r="K273" s="502"/>
      <c r="L273" s="267">
        <f t="shared" si="25"/>
        <v>16.839600000000001</v>
      </c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</row>
    <row r="274" spans="1:27" x14ac:dyDescent="0.25">
      <c r="A274" s="575"/>
      <c r="B274" s="207" t="s">
        <v>647</v>
      </c>
      <c r="C274" s="233" t="s">
        <v>648</v>
      </c>
      <c r="D274" s="207" t="s">
        <v>119</v>
      </c>
      <c r="E274" s="295">
        <v>2</v>
      </c>
      <c r="F274" s="205"/>
      <c r="G274" s="205"/>
      <c r="H274" s="207"/>
      <c r="I274" s="207"/>
      <c r="J274" s="501">
        <v>13.091200000000001</v>
      </c>
      <c r="K274" s="502"/>
      <c r="L274" s="267">
        <f t="shared" si="25"/>
        <v>26.182400000000001</v>
      </c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</row>
    <row r="275" spans="1:27" x14ac:dyDescent="0.25">
      <c r="A275" s="519" t="s">
        <v>651</v>
      </c>
      <c r="B275" s="522"/>
      <c r="C275" s="522"/>
      <c r="D275" s="522"/>
      <c r="E275" s="522"/>
      <c r="F275" s="522"/>
      <c r="G275" s="522"/>
      <c r="H275" s="522"/>
      <c r="I275" s="522"/>
      <c r="J275" s="522"/>
      <c r="K275" s="523"/>
      <c r="L275" s="231">
        <f>SUM(L271:L274)</f>
        <v>91.363200000000006</v>
      </c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</row>
    <row r="276" spans="1:27" x14ac:dyDescent="0.25">
      <c r="A276" s="519" t="s">
        <v>654</v>
      </c>
      <c r="B276" s="520"/>
      <c r="C276" s="520"/>
      <c r="D276" s="520"/>
      <c r="E276" s="520"/>
      <c r="F276" s="520"/>
      <c r="G276" s="520"/>
      <c r="H276" s="520"/>
      <c r="I276" s="520"/>
      <c r="J276" s="520"/>
      <c r="K276" s="521"/>
      <c r="L276" s="231">
        <f>L275+L270</f>
        <v>98.744141484000011</v>
      </c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</row>
    <row r="277" spans="1:27" ht="15.75" thickBot="1" x14ac:dyDescent="0.3">
      <c r="A277" s="576" t="s">
        <v>657</v>
      </c>
      <c r="B277" s="577"/>
      <c r="C277" s="577"/>
      <c r="D277" s="577"/>
      <c r="E277" s="577"/>
      <c r="F277" s="577"/>
      <c r="G277" s="577"/>
      <c r="H277" s="577"/>
      <c r="I277" s="577"/>
      <c r="J277" s="577"/>
      <c r="K277" s="578"/>
      <c r="L277" s="268">
        <f>L276/4</f>
        <v>24.686035371000003</v>
      </c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</row>
    <row r="278" spans="1:27" x14ac:dyDescent="0.25">
      <c r="A278" s="579" t="s">
        <v>662</v>
      </c>
      <c r="B278" s="269" t="s">
        <v>663</v>
      </c>
      <c r="C278" s="269" t="s">
        <v>664</v>
      </c>
      <c r="D278" s="270" t="s">
        <v>118</v>
      </c>
      <c r="E278" s="296">
        <v>12.72</v>
      </c>
      <c r="F278" s="269"/>
      <c r="G278" s="269"/>
      <c r="H278" s="269"/>
      <c r="I278" s="269"/>
      <c r="J278" s="515">
        <v>5.7830000000000004</v>
      </c>
      <c r="K278" s="516"/>
      <c r="L278" s="271">
        <f>E278*J278</f>
        <v>73.559760000000011</v>
      </c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</row>
    <row r="279" spans="1:27" x14ac:dyDescent="0.25">
      <c r="A279" s="524"/>
      <c r="B279" s="208" t="s">
        <v>741</v>
      </c>
      <c r="C279" s="208" t="s">
        <v>742</v>
      </c>
      <c r="D279" s="207" t="s">
        <v>19</v>
      </c>
      <c r="E279" s="205">
        <v>1</v>
      </c>
      <c r="F279" s="208"/>
      <c r="G279" s="208"/>
      <c r="H279" s="208"/>
      <c r="I279" s="208"/>
      <c r="J279" s="501">
        <v>551.95830000000001</v>
      </c>
      <c r="K279" s="502"/>
      <c r="L279" s="267">
        <f t="shared" ref="L279" si="26">E279*J279</f>
        <v>551.95830000000001</v>
      </c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</row>
    <row r="280" spans="1:27" x14ac:dyDescent="0.25">
      <c r="A280" s="509"/>
      <c r="B280" s="208"/>
      <c r="C280" s="208"/>
      <c r="D280" s="207"/>
      <c r="E280" s="205"/>
      <c r="F280" s="208"/>
      <c r="G280" s="208"/>
      <c r="H280" s="208"/>
      <c r="I280" s="208"/>
      <c r="J280" s="541"/>
      <c r="K280" s="523"/>
      <c r="L280" s="267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</row>
    <row r="281" spans="1:27" ht="15.75" thickBot="1" x14ac:dyDescent="0.3">
      <c r="A281" s="576" t="s">
        <v>669</v>
      </c>
      <c r="B281" s="580"/>
      <c r="C281" s="580"/>
      <c r="D281" s="580"/>
      <c r="E281" s="580"/>
      <c r="F281" s="580"/>
      <c r="G281" s="580"/>
      <c r="H281" s="580"/>
      <c r="I281" s="580"/>
      <c r="J281" s="580"/>
      <c r="K281" s="581"/>
      <c r="L281" s="234">
        <f>SUM(L278:L280)</f>
        <v>625.51805999999999</v>
      </c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</row>
    <row r="282" spans="1:27" ht="30" x14ac:dyDescent="0.25">
      <c r="A282" s="272" t="s">
        <v>670</v>
      </c>
      <c r="B282" s="275">
        <v>5212552</v>
      </c>
      <c r="C282" s="273" t="s">
        <v>671</v>
      </c>
      <c r="D282" s="275" t="s">
        <v>19</v>
      </c>
      <c r="E282" s="297">
        <v>1</v>
      </c>
      <c r="F282" s="274"/>
      <c r="G282" s="274"/>
      <c r="H282" s="274"/>
      <c r="I282" s="274"/>
      <c r="J282" s="582">
        <f>L295</f>
        <v>10.676543607285518</v>
      </c>
      <c r="K282" s="583"/>
      <c r="L282" s="276">
        <f>J282*E282</f>
        <v>10.676543607285518</v>
      </c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</row>
    <row r="283" spans="1:27" ht="30" x14ac:dyDescent="0.25">
      <c r="A283" s="584" t="s">
        <v>633</v>
      </c>
      <c r="B283" s="277" t="s">
        <v>672</v>
      </c>
      <c r="C283" s="278" t="s">
        <v>673</v>
      </c>
      <c r="D283" s="281" t="s">
        <v>119</v>
      </c>
      <c r="E283" s="279">
        <v>1</v>
      </c>
      <c r="F283" s="280">
        <v>1</v>
      </c>
      <c r="G283" s="280">
        <v>0</v>
      </c>
      <c r="H283" s="210">
        <v>37.447600000000001</v>
      </c>
      <c r="I283" s="210">
        <v>32.833100000000002</v>
      </c>
      <c r="J283" s="586"/>
      <c r="K283" s="586"/>
      <c r="L283" s="282">
        <f>E283*((F283*H283)+(G283*I283))</f>
        <v>37.447600000000001</v>
      </c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</row>
    <row r="284" spans="1:27" x14ac:dyDescent="0.25">
      <c r="A284" s="585"/>
      <c r="B284" s="277" t="s">
        <v>642</v>
      </c>
      <c r="C284" s="277" t="s">
        <v>643</v>
      </c>
      <c r="D284" s="281" t="s">
        <v>119</v>
      </c>
      <c r="E284" s="279">
        <v>1</v>
      </c>
      <c r="F284" s="280">
        <v>1</v>
      </c>
      <c r="G284" s="280">
        <v>0</v>
      </c>
      <c r="H284" s="210">
        <v>8.9977</v>
      </c>
      <c r="I284" s="210">
        <v>2.0013999999999998</v>
      </c>
      <c r="J284" s="586"/>
      <c r="K284" s="586"/>
      <c r="L284" s="282">
        <f>E284*((F284*H284)+(G284*I284))</f>
        <v>8.9977</v>
      </c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</row>
    <row r="285" spans="1:27" x14ac:dyDescent="0.25">
      <c r="A285" s="587" t="s">
        <v>644</v>
      </c>
      <c r="B285" s="588"/>
      <c r="C285" s="588"/>
      <c r="D285" s="588"/>
      <c r="E285" s="588"/>
      <c r="F285" s="588"/>
      <c r="G285" s="588"/>
      <c r="H285" s="588"/>
      <c r="I285" s="588"/>
      <c r="J285" s="588"/>
      <c r="K285" s="589"/>
      <c r="L285" s="283">
        <f>SUM(L283:L284)</f>
        <v>46.445300000000003</v>
      </c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</row>
    <row r="286" spans="1:27" x14ac:dyDescent="0.25">
      <c r="A286" s="584" t="s">
        <v>419</v>
      </c>
      <c r="B286" s="277" t="s">
        <v>652</v>
      </c>
      <c r="C286" s="277" t="s">
        <v>653</v>
      </c>
      <c r="D286" s="281" t="s">
        <v>119</v>
      </c>
      <c r="E286" s="279">
        <v>1</v>
      </c>
      <c r="F286" s="277"/>
      <c r="G286" s="277"/>
      <c r="H286" s="277"/>
      <c r="I286" s="277"/>
      <c r="J286" s="501">
        <v>13.3277</v>
      </c>
      <c r="K286" s="502"/>
      <c r="L286" s="282">
        <f>E286*J286</f>
        <v>13.3277</v>
      </c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</row>
    <row r="287" spans="1:27" x14ac:dyDescent="0.25">
      <c r="A287" s="590"/>
      <c r="B287" s="277" t="s">
        <v>674</v>
      </c>
      <c r="C287" s="277" t="s">
        <v>675</v>
      </c>
      <c r="D287" s="281" t="s">
        <v>119</v>
      </c>
      <c r="E287" s="279">
        <v>1</v>
      </c>
      <c r="F287" s="277"/>
      <c r="G287" s="277"/>
      <c r="H287" s="277"/>
      <c r="I287" s="277"/>
      <c r="J287" s="525">
        <v>18.1678</v>
      </c>
      <c r="K287" s="525"/>
      <c r="L287" s="282">
        <f t="shared" ref="L287:L288" si="27">E287*J287</f>
        <v>18.1678</v>
      </c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</row>
    <row r="288" spans="1:27" x14ac:dyDescent="0.25">
      <c r="A288" s="585"/>
      <c r="B288" s="277" t="s">
        <v>647</v>
      </c>
      <c r="C288" s="277" t="s">
        <v>648</v>
      </c>
      <c r="D288" s="281" t="s">
        <v>119</v>
      </c>
      <c r="E288" s="279">
        <v>1</v>
      </c>
      <c r="F288" s="277"/>
      <c r="G288" s="277"/>
      <c r="H288" s="277"/>
      <c r="I288" s="277"/>
      <c r="J288" s="501">
        <v>13.091200000000001</v>
      </c>
      <c r="K288" s="502"/>
      <c r="L288" s="282">
        <f t="shared" si="27"/>
        <v>13.091200000000001</v>
      </c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</row>
    <row r="289" spans="1:27" x14ac:dyDescent="0.25">
      <c r="A289" s="587" t="s">
        <v>651</v>
      </c>
      <c r="B289" s="588"/>
      <c r="C289" s="588"/>
      <c r="D289" s="588"/>
      <c r="E289" s="588"/>
      <c r="F289" s="588"/>
      <c r="G289" s="588"/>
      <c r="H289" s="588"/>
      <c r="I289" s="588"/>
      <c r="J289" s="588"/>
      <c r="K289" s="589"/>
      <c r="L289" s="283">
        <f>SUM(L286:L288)</f>
        <v>44.5867</v>
      </c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</row>
    <row r="290" spans="1:27" x14ac:dyDescent="0.25">
      <c r="A290" s="587" t="s">
        <v>654</v>
      </c>
      <c r="B290" s="591"/>
      <c r="C290" s="591"/>
      <c r="D290" s="591"/>
      <c r="E290" s="591"/>
      <c r="F290" s="591"/>
      <c r="G290" s="591"/>
      <c r="H290" s="591"/>
      <c r="I290" s="591"/>
      <c r="J290" s="591"/>
      <c r="K290" s="592"/>
      <c r="L290" s="283">
        <f>L289+L285</f>
        <v>91.032000000000011</v>
      </c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</row>
    <row r="291" spans="1:27" x14ac:dyDescent="0.25">
      <c r="A291" s="587" t="s">
        <v>657</v>
      </c>
      <c r="B291" s="591"/>
      <c r="C291" s="591"/>
      <c r="D291" s="591"/>
      <c r="E291" s="591"/>
      <c r="F291" s="591"/>
      <c r="G291" s="591"/>
      <c r="H291" s="591"/>
      <c r="I291" s="591"/>
      <c r="J291" s="591"/>
      <c r="K291" s="592"/>
      <c r="L291" s="284">
        <f>L290/9.96</f>
        <v>9.1397590361445786</v>
      </c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</row>
    <row r="292" spans="1:27" x14ac:dyDescent="0.25">
      <c r="A292" s="285" t="s">
        <v>662</v>
      </c>
      <c r="B292" s="277" t="s">
        <v>676</v>
      </c>
      <c r="C292" s="277" t="s">
        <v>677</v>
      </c>
      <c r="D292" s="281" t="s">
        <v>118</v>
      </c>
      <c r="E292" s="281">
        <v>8.4500000000000006E-2</v>
      </c>
      <c r="F292" s="277"/>
      <c r="G292" s="277"/>
      <c r="H292" s="277"/>
      <c r="I292" s="277"/>
      <c r="J292" s="525">
        <v>18.1678</v>
      </c>
      <c r="K292" s="525"/>
      <c r="L292" s="282">
        <f t="shared" ref="L292" si="28">E292*J292</f>
        <v>1.5351791000000001</v>
      </c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</row>
    <row r="293" spans="1:27" ht="15.75" thickBot="1" x14ac:dyDescent="0.3">
      <c r="A293" s="593" t="s">
        <v>669</v>
      </c>
      <c r="B293" s="594"/>
      <c r="C293" s="594"/>
      <c r="D293" s="594"/>
      <c r="E293" s="594"/>
      <c r="F293" s="594"/>
      <c r="G293" s="594"/>
      <c r="H293" s="594"/>
      <c r="I293" s="594"/>
      <c r="J293" s="594"/>
      <c r="K293" s="595"/>
      <c r="L293" s="286">
        <f>SUM(L292)</f>
        <v>1.5351791000000001</v>
      </c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</row>
    <row r="294" spans="1:27" x14ac:dyDescent="0.25">
      <c r="A294" s="285" t="s">
        <v>678</v>
      </c>
      <c r="B294" s="277" t="s">
        <v>676</v>
      </c>
      <c r="C294" s="277" t="s">
        <v>679</v>
      </c>
      <c r="D294" s="281" t="s">
        <v>680</v>
      </c>
      <c r="E294" s="281">
        <v>8.0000000000000007E-5</v>
      </c>
      <c r="F294" s="277"/>
      <c r="G294" s="277"/>
      <c r="H294" s="277"/>
      <c r="I294" s="277"/>
      <c r="J294" s="596">
        <f>Y35</f>
        <v>20.068389261744969</v>
      </c>
      <c r="K294" s="597"/>
      <c r="L294" s="282">
        <f t="shared" ref="L294" si="29">E294*J294</f>
        <v>1.6054711409395977E-3</v>
      </c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</row>
    <row r="295" spans="1:27" ht="15.75" thickBot="1" x14ac:dyDescent="0.3">
      <c r="A295" s="598"/>
      <c r="B295" s="599"/>
      <c r="C295" s="599"/>
      <c r="D295" s="599"/>
      <c r="E295" s="599"/>
      <c r="F295" s="599"/>
      <c r="G295" s="599"/>
      <c r="H295" s="599"/>
      <c r="I295" s="599"/>
      <c r="J295" s="599"/>
      <c r="K295" s="599"/>
      <c r="L295" s="287">
        <f>L294+L293+L291</f>
        <v>10.676543607285518</v>
      </c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</row>
    <row r="296" spans="1:27" x14ac:dyDescent="0.25">
      <c r="A296" s="600" t="s">
        <v>678</v>
      </c>
      <c r="B296" s="288" t="s">
        <v>663</v>
      </c>
      <c r="C296" s="288" t="s">
        <v>682</v>
      </c>
      <c r="D296" s="289" t="s">
        <v>680</v>
      </c>
      <c r="E296" s="289">
        <v>1.272E-2</v>
      </c>
      <c r="F296" s="288"/>
      <c r="G296" s="288"/>
      <c r="H296" s="288"/>
      <c r="I296" s="288"/>
      <c r="J296" s="602">
        <f>Y11</f>
        <v>16.414234207764956</v>
      </c>
      <c r="K296" s="603"/>
      <c r="L296" s="290">
        <f t="shared" ref="L296:L297" si="30">E296*J296</f>
        <v>0.20878905912277024</v>
      </c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</row>
    <row r="297" spans="1:27" x14ac:dyDescent="0.25">
      <c r="A297" s="601"/>
      <c r="B297" s="291" t="s">
        <v>741</v>
      </c>
      <c r="C297" s="291" t="s">
        <v>744</v>
      </c>
      <c r="D297" s="292" t="s">
        <v>680</v>
      </c>
      <c r="E297" s="292">
        <v>5.2999999999999998E-4</v>
      </c>
      <c r="F297" s="291"/>
      <c r="G297" s="291"/>
      <c r="H297" s="291"/>
      <c r="I297" s="291"/>
      <c r="J297" s="604">
        <f>Y23</f>
        <v>21.324672021419008</v>
      </c>
      <c r="K297" s="605"/>
      <c r="L297" s="290">
        <f t="shared" si="30"/>
        <v>1.1302076171352074E-2</v>
      </c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</row>
    <row r="298" spans="1:27" x14ac:dyDescent="0.25">
      <c r="A298" s="612" t="s">
        <v>745</v>
      </c>
      <c r="B298" s="613"/>
      <c r="C298" s="613"/>
      <c r="D298" s="613"/>
      <c r="E298" s="613"/>
      <c r="F298" s="613"/>
      <c r="G298" s="613"/>
      <c r="H298" s="613"/>
      <c r="I298" s="613"/>
      <c r="J298" s="613"/>
      <c r="K298" s="469"/>
      <c r="L298" s="298">
        <f>L296+L297</f>
        <v>0.2200911352941223</v>
      </c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</row>
    <row r="299" spans="1:27" ht="15.75" thickBot="1" x14ac:dyDescent="0.3">
      <c r="A299" s="609" t="s">
        <v>746</v>
      </c>
      <c r="B299" s="610"/>
      <c r="C299" s="610"/>
      <c r="D299" s="610"/>
      <c r="E299" s="610"/>
      <c r="F299" s="610"/>
      <c r="G299" s="610"/>
      <c r="H299" s="610"/>
      <c r="I299" s="610"/>
      <c r="J299" s="610"/>
      <c r="K299" s="610"/>
      <c r="L299" s="294">
        <f>L298+L281+L277+L282</f>
        <v>661.10073011357963</v>
      </c>
      <c r="M299" s="154"/>
      <c r="N299" s="154"/>
      <c r="O299" s="154"/>
      <c r="P299" s="154"/>
      <c r="Q299" s="154"/>
      <c r="R299" s="154"/>
      <c r="S299" s="154"/>
      <c r="T299" s="154"/>
      <c r="U299" s="154"/>
      <c r="V299" s="154"/>
      <c r="W299" s="154"/>
      <c r="X299" s="154"/>
      <c r="Y299" s="154"/>
      <c r="Z299" s="154"/>
      <c r="AA299" s="154"/>
    </row>
    <row r="300" spans="1:27" x14ac:dyDescent="0.25">
      <c r="A300" s="193"/>
      <c r="B300" s="194"/>
      <c r="C300" s="194"/>
      <c r="D300" s="194"/>
      <c r="E300" s="245"/>
      <c r="F300" s="194"/>
      <c r="G300" s="194"/>
      <c r="H300" s="194"/>
      <c r="I300" s="194"/>
      <c r="J300" s="194"/>
      <c r="K300" s="194"/>
      <c r="L300" s="19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</row>
    <row r="301" spans="1:27" x14ac:dyDescent="0.25">
      <c r="A301" s="154"/>
      <c r="B301" s="183"/>
      <c r="C301" s="154"/>
      <c r="D301" s="154"/>
      <c r="E301" s="183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</row>
    <row r="302" spans="1:27" x14ac:dyDescent="0.25">
      <c r="A302" s="154"/>
      <c r="B302" s="183"/>
      <c r="C302" s="154"/>
      <c r="D302" s="154"/>
      <c r="E302" s="183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</row>
    <row r="303" spans="1:27" x14ac:dyDescent="0.25">
      <c r="A303" s="154"/>
      <c r="B303" s="183"/>
      <c r="C303" s="154"/>
      <c r="D303" s="154"/>
      <c r="E303" s="183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</row>
  </sheetData>
  <sheetProtection password="F990" sheet="1" objects="1" scenarios="1"/>
  <mergeCells count="448">
    <mergeCell ref="A298:K298"/>
    <mergeCell ref="A299:K299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A71:K71"/>
    <mergeCell ref="O71:X71"/>
    <mergeCell ref="A72:K72"/>
    <mergeCell ref="O72:X72"/>
    <mergeCell ref="A73:K73"/>
    <mergeCell ref="A74:A77"/>
    <mergeCell ref="J74:K74"/>
    <mergeCell ref="J75:K75"/>
    <mergeCell ref="J76:K76"/>
    <mergeCell ref="J77:K77"/>
    <mergeCell ref="A67:K67"/>
    <mergeCell ref="O67:X67"/>
    <mergeCell ref="A68:A70"/>
    <mergeCell ref="J68:K68"/>
    <mergeCell ref="J69:K69"/>
    <mergeCell ref="J70:K70"/>
    <mergeCell ref="O70:X70"/>
    <mergeCell ref="X63:X64"/>
    <mergeCell ref="Y63:Y64"/>
    <mergeCell ref="J64:K64"/>
    <mergeCell ref="J65:K65"/>
    <mergeCell ref="O65:O66"/>
    <mergeCell ref="J66:K66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A58:A60"/>
    <mergeCell ref="J58:K58"/>
    <mergeCell ref="O58:X58"/>
    <mergeCell ref="J59:K59"/>
    <mergeCell ref="O59:X59"/>
    <mergeCell ref="J60:K60"/>
    <mergeCell ref="A61:K61"/>
    <mergeCell ref="A55:K55"/>
    <mergeCell ref="A56:K56"/>
    <mergeCell ref="A57:K57"/>
    <mergeCell ref="O57:X57"/>
    <mergeCell ref="A50:K50"/>
    <mergeCell ref="O50:O51"/>
    <mergeCell ref="Q50:Q51"/>
    <mergeCell ref="R50:R51"/>
    <mergeCell ref="S50:S51"/>
    <mergeCell ref="T50:U50"/>
    <mergeCell ref="V50:W50"/>
    <mergeCell ref="X50:X51"/>
    <mergeCell ref="Y50:Y51"/>
    <mergeCell ref="A51:A54"/>
    <mergeCell ref="J51:K51"/>
    <mergeCell ref="J52:K52"/>
    <mergeCell ref="O52:O53"/>
    <mergeCell ref="J53:K53"/>
    <mergeCell ref="J54:K54"/>
    <mergeCell ref="O54:X54"/>
    <mergeCell ref="O44:X44"/>
    <mergeCell ref="A45:A49"/>
    <mergeCell ref="J45:K45"/>
    <mergeCell ref="O45:X45"/>
    <mergeCell ref="J46:K46"/>
    <mergeCell ref="O46:X46"/>
    <mergeCell ref="J47:K47"/>
    <mergeCell ref="J48:K48"/>
    <mergeCell ref="J49:K49"/>
    <mergeCell ref="A43:A44"/>
    <mergeCell ref="C43:C44"/>
    <mergeCell ref="D43:D44"/>
    <mergeCell ref="E43:E44"/>
    <mergeCell ref="F43:G43"/>
    <mergeCell ref="H43:I43"/>
    <mergeCell ref="J43:K44"/>
    <mergeCell ref="L43:L44"/>
    <mergeCell ref="O39:O40"/>
    <mergeCell ref="O41:X41"/>
    <mergeCell ref="O35:X35"/>
    <mergeCell ref="O37:O38"/>
    <mergeCell ref="Q37:Q38"/>
    <mergeCell ref="R37:R38"/>
    <mergeCell ref="S37:S38"/>
    <mergeCell ref="T37:U37"/>
    <mergeCell ref="V37:W37"/>
    <mergeCell ref="X37:X38"/>
    <mergeCell ref="Y37:Y38"/>
    <mergeCell ref="O31:O32"/>
    <mergeCell ref="O33:X33"/>
    <mergeCell ref="O34:X34"/>
    <mergeCell ref="O21:X21"/>
    <mergeCell ref="O22:X22"/>
    <mergeCell ref="O23:X23"/>
    <mergeCell ref="O26:O27"/>
    <mergeCell ref="Q26:Q27"/>
    <mergeCell ref="T26:U26"/>
    <mergeCell ref="V26:W26"/>
    <mergeCell ref="X26:X27"/>
    <mergeCell ref="Y26:Y27"/>
    <mergeCell ref="O18:X18"/>
    <mergeCell ref="O19:O20"/>
    <mergeCell ref="O1:Y1"/>
    <mergeCell ref="L2:L3"/>
    <mergeCell ref="O2:O3"/>
    <mergeCell ref="Q2:Q3"/>
    <mergeCell ref="T2:U2"/>
    <mergeCell ref="V2:W2"/>
    <mergeCell ref="X2:X3"/>
    <mergeCell ref="Y2:Y3"/>
    <mergeCell ref="O4:O5"/>
    <mergeCell ref="O16:O17"/>
    <mergeCell ref="Y14:Y15"/>
    <mergeCell ref="A38:K38"/>
    <mergeCell ref="A39:K39"/>
    <mergeCell ref="A35:A37"/>
    <mergeCell ref="J35:K35"/>
    <mergeCell ref="J36:K36"/>
    <mergeCell ref="J37:K37"/>
    <mergeCell ref="J33:K33"/>
    <mergeCell ref="A34:K34"/>
    <mergeCell ref="J31:K31"/>
    <mergeCell ref="A32:K32"/>
    <mergeCell ref="A30:K30"/>
    <mergeCell ref="J27:K27"/>
    <mergeCell ref="A28:K28"/>
    <mergeCell ref="A29:K29"/>
    <mergeCell ref="R26:R27"/>
    <mergeCell ref="S26:S27"/>
    <mergeCell ref="O28:O29"/>
    <mergeCell ref="O30:X30"/>
    <mergeCell ref="A24:K24"/>
    <mergeCell ref="A25:A27"/>
    <mergeCell ref="J25:K25"/>
    <mergeCell ref="J26:K26"/>
    <mergeCell ref="A22:A23"/>
    <mergeCell ref="J22:K22"/>
    <mergeCell ref="J23:K23"/>
    <mergeCell ref="J21:K21"/>
    <mergeCell ref="A16:K16"/>
    <mergeCell ref="A17:A19"/>
    <mergeCell ref="J17:K17"/>
    <mergeCell ref="J18:K18"/>
    <mergeCell ref="J19:K19"/>
    <mergeCell ref="A20:K20"/>
    <mergeCell ref="A15:K15"/>
    <mergeCell ref="A14:K14"/>
    <mergeCell ref="R14:R15"/>
    <mergeCell ref="S14:S15"/>
    <mergeCell ref="O14:O15"/>
    <mergeCell ref="Q14:Q15"/>
    <mergeCell ref="T14:U14"/>
    <mergeCell ref="V14:W14"/>
    <mergeCell ref="X14:X15"/>
    <mergeCell ref="J12:K12"/>
    <mergeCell ref="J13:K13"/>
    <mergeCell ref="A9:K9"/>
    <mergeCell ref="A10:A13"/>
    <mergeCell ref="J10:K10"/>
    <mergeCell ref="J11:K11"/>
    <mergeCell ref="O9:X9"/>
    <mergeCell ref="O10:X10"/>
    <mergeCell ref="O11:X11"/>
    <mergeCell ref="J7:K7"/>
    <mergeCell ref="J8:K8"/>
    <mergeCell ref="O6:X6"/>
    <mergeCell ref="O7:O8"/>
    <mergeCell ref="A4:A8"/>
    <mergeCell ref="J4:K4"/>
    <mergeCell ref="J2:K3"/>
    <mergeCell ref="R2:R3"/>
    <mergeCell ref="S2:S3"/>
    <mergeCell ref="A2:A3"/>
    <mergeCell ref="C2:C3"/>
    <mergeCell ref="D2:D3"/>
    <mergeCell ref="E2:E3"/>
    <mergeCell ref="F2:G2"/>
    <mergeCell ref="H2:I2"/>
    <mergeCell ref="J5:K5"/>
    <mergeCell ref="J6:K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A14" sqref="A14:J14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8.85546875" style="2" bestFit="1" customWidth="1"/>
    <col min="11" max="16384" width="9.140625" style="2"/>
  </cols>
  <sheetData>
    <row r="1" spans="1:10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18.75" x14ac:dyDescent="0.25">
      <c r="A2" s="389" t="s">
        <v>51</v>
      </c>
      <c r="B2" s="389"/>
      <c r="C2" s="389"/>
      <c r="D2" s="389"/>
      <c r="E2" s="389"/>
      <c r="F2" s="389"/>
      <c r="G2" s="389"/>
      <c r="H2" s="389"/>
      <c r="I2" s="389"/>
      <c r="J2" s="389"/>
    </row>
    <row r="3" spans="1:10" x14ac:dyDescent="0.25">
      <c r="A3" s="22" t="s">
        <v>11</v>
      </c>
      <c r="B3" s="390"/>
      <c r="C3" s="390"/>
      <c r="D3" s="390"/>
      <c r="E3" s="390"/>
      <c r="F3" s="390"/>
      <c r="G3" s="390"/>
      <c r="H3" s="390"/>
      <c r="I3" s="23" t="s">
        <v>15</v>
      </c>
      <c r="J3" s="23" t="str">
        <f>'PLANILHA ORÇAMENTÁRIA'!H3</f>
        <v>SINAPI</v>
      </c>
    </row>
    <row r="4" spans="1:10" x14ac:dyDescent="0.25">
      <c r="A4" s="22" t="s">
        <v>12</v>
      </c>
      <c r="B4" s="390"/>
      <c r="C4" s="390"/>
      <c r="D4" s="390"/>
      <c r="E4" s="390"/>
      <c r="F4" s="390"/>
      <c r="G4" s="390"/>
      <c r="H4" s="390"/>
      <c r="I4" s="391">
        <f>BDI!I4</f>
        <v>0.31126118815198645</v>
      </c>
      <c r="J4" s="24" t="str">
        <f>'PLANILHA ORÇAMENTÁRIA'!H4</f>
        <v>AP - Janeiro/2018</v>
      </c>
    </row>
    <row r="5" spans="1:10" x14ac:dyDescent="0.25">
      <c r="A5" s="22" t="s">
        <v>13</v>
      </c>
      <c r="B5" s="390"/>
      <c r="C5" s="390"/>
      <c r="D5" s="390"/>
      <c r="E5" s="390"/>
      <c r="F5" s="390"/>
      <c r="G5" s="390"/>
      <c r="H5" s="390"/>
      <c r="I5" s="392"/>
      <c r="J5" s="23" t="str">
        <f>'PLANILHA ORÇAMENTÁRIA'!H5</f>
        <v>SICRO</v>
      </c>
    </row>
    <row r="6" spans="1:10" x14ac:dyDescent="0.25">
      <c r="A6" s="22" t="s">
        <v>14</v>
      </c>
      <c r="B6" s="390"/>
      <c r="C6" s="390"/>
      <c r="D6" s="390"/>
      <c r="E6" s="390"/>
      <c r="F6" s="390"/>
      <c r="G6" s="390"/>
      <c r="H6" s="390"/>
      <c r="I6" s="392"/>
      <c r="J6" s="24" t="str">
        <f>'PLANILHA ORÇAMENTÁRIA'!H6</f>
        <v>AP - Setembro/2017</v>
      </c>
    </row>
    <row r="7" spans="1:10" ht="15.75" x14ac:dyDescent="0.25">
      <c r="A7" s="388" t="s">
        <v>376</v>
      </c>
      <c r="B7" s="388"/>
      <c r="C7" s="388"/>
      <c r="D7" s="388"/>
      <c r="E7" s="388"/>
      <c r="F7" s="388"/>
      <c r="G7" s="388"/>
      <c r="H7" s="388"/>
      <c r="I7" s="388"/>
      <c r="J7" s="388"/>
    </row>
    <row r="8" spans="1:10" ht="15.75" x14ac:dyDescent="0.25">
      <c r="A8" s="388" t="s">
        <v>417</v>
      </c>
      <c r="B8" s="388"/>
      <c r="C8" s="388"/>
      <c r="D8" s="388"/>
      <c r="E8" s="388"/>
      <c r="F8" s="388"/>
      <c r="G8" s="388"/>
      <c r="H8" s="388"/>
      <c r="I8" s="388"/>
      <c r="J8" s="388"/>
    </row>
    <row r="9" spans="1:10" s="6" customFormat="1" ht="30" x14ac:dyDescent="0.25">
      <c r="A9" s="25" t="s">
        <v>365</v>
      </c>
      <c r="B9" s="25" t="s">
        <v>383</v>
      </c>
      <c r="C9" s="25" t="s">
        <v>1</v>
      </c>
      <c r="D9" s="25" t="s">
        <v>419</v>
      </c>
      <c r="E9" s="25" t="s">
        <v>423</v>
      </c>
      <c r="F9" s="25" t="s">
        <v>418</v>
      </c>
      <c r="G9" s="25" t="s">
        <v>420</v>
      </c>
      <c r="H9" s="25" t="s">
        <v>421</v>
      </c>
      <c r="I9" s="25" t="s">
        <v>381</v>
      </c>
      <c r="J9" s="25" t="s">
        <v>382</v>
      </c>
    </row>
    <row r="10" spans="1:10" x14ac:dyDescent="0.25">
      <c r="A10" s="26" t="s">
        <v>4</v>
      </c>
      <c r="B10" s="26" t="s">
        <v>16</v>
      </c>
      <c r="C10" s="26">
        <v>90778</v>
      </c>
      <c r="D10" s="27" t="s">
        <v>422</v>
      </c>
      <c r="E10" s="26" t="s">
        <v>424</v>
      </c>
      <c r="F10" s="28"/>
      <c r="G10" s="28"/>
      <c r="H10" s="26">
        <v>4</v>
      </c>
      <c r="I10" s="29">
        <v>87.68</v>
      </c>
      <c r="J10" s="30">
        <f>I10*F10*G10*H10</f>
        <v>0</v>
      </c>
    </row>
    <row r="11" spans="1:10" x14ac:dyDescent="0.25">
      <c r="A11" s="26" t="s">
        <v>385</v>
      </c>
      <c r="B11" s="26" t="s">
        <v>16</v>
      </c>
      <c r="C11" s="26">
        <v>90780</v>
      </c>
      <c r="D11" s="27" t="s">
        <v>425</v>
      </c>
      <c r="E11" s="26" t="s">
        <v>424</v>
      </c>
      <c r="F11" s="28"/>
      <c r="G11" s="28"/>
      <c r="H11" s="26">
        <v>4</v>
      </c>
      <c r="I11" s="29">
        <v>24.31</v>
      </c>
      <c r="J11" s="30">
        <f t="shared" ref="J11:J12" si="0">I11*F11*G11*H11</f>
        <v>0</v>
      </c>
    </row>
    <row r="12" spans="1:10" x14ac:dyDescent="0.25">
      <c r="A12" s="26" t="s">
        <v>386</v>
      </c>
      <c r="B12" s="26" t="s">
        <v>16</v>
      </c>
      <c r="C12" s="26">
        <v>90776</v>
      </c>
      <c r="D12" s="27" t="s">
        <v>426</v>
      </c>
      <c r="E12" s="26" t="s">
        <v>424</v>
      </c>
      <c r="F12" s="28"/>
      <c r="G12" s="28"/>
      <c r="H12" s="26">
        <v>4</v>
      </c>
      <c r="I12" s="29">
        <v>15.19</v>
      </c>
      <c r="J12" s="30">
        <f t="shared" si="0"/>
        <v>0</v>
      </c>
    </row>
    <row r="13" spans="1:10" x14ac:dyDescent="0.25">
      <c r="A13" s="387" t="s">
        <v>50</v>
      </c>
      <c r="B13" s="387"/>
      <c r="C13" s="387"/>
      <c r="D13" s="387"/>
      <c r="E13" s="387"/>
      <c r="F13" s="387"/>
      <c r="G13" s="387"/>
      <c r="H13" s="387"/>
      <c r="I13" s="387"/>
      <c r="J13" s="31">
        <f>SUM(J10:J12)</f>
        <v>0</v>
      </c>
    </row>
    <row r="14" spans="1:10" x14ac:dyDescent="0.25">
      <c r="A14" s="385" t="s">
        <v>789</v>
      </c>
      <c r="B14" s="385"/>
      <c r="C14" s="385"/>
      <c r="D14" s="385"/>
      <c r="E14" s="385"/>
      <c r="F14" s="385"/>
      <c r="G14" s="385"/>
      <c r="H14" s="385"/>
      <c r="I14" s="385"/>
      <c r="J14" s="385"/>
    </row>
    <row r="15" spans="1:10" ht="90" customHeight="1" x14ac:dyDescent="0.25">
      <c r="A15" s="384" t="s">
        <v>596</v>
      </c>
      <c r="B15" s="384"/>
      <c r="C15" s="384"/>
      <c r="D15" s="384"/>
      <c r="E15" s="384"/>
      <c r="F15" s="384"/>
      <c r="G15" s="384"/>
      <c r="H15" s="384"/>
      <c r="I15" s="384"/>
      <c r="J15" s="384"/>
    </row>
  </sheetData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topLeftCell="A16" zoomScale="70" zoomScaleNormal="70" zoomScaleSheetLayoutView="70" workbookViewId="0">
      <selection activeCell="B42" sqref="B42:N42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396" t="s">
        <v>806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18.75" x14ac:dyDescent="0.25">
      <c r="A2" s="389" t="s">
        <v>555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</row>
    <row r="3" spans="1:14" x14ac:dyDescent="0.25">
      <c r="A3" s="32" t="s">
        <v>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2" t="s">
        <v>15</v>
      </c>
      <c r="N3" s="23" t="str">
        <f>'PLANILHA ORÇAMENTÁRIA'!H3</f>
        <v>SINAPI</v>
      </c>
    </row>
    <row r="4" spans="1:14" x14ac:dyDescent="0.25">
      <c r="A4" s="32" t="s">
        <v>12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2"/>
      <c r="N4" s="24" t="str">
        <f>'PLANILHA ORÇAMENTÁRIA'!H4</f>
        <v>AP - Janeiro/2018</v>
      </c>
    </row>
    <row r="5" spans="1:14" x14ac:dyDescent="0.25">
      <c r="A5" s="32" t="s">
        <v>13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7">
        <f>BDI!I23</f>
        <v>0.31126118815198645</v>
      </c>
      <c r="N5" s="23" t="str">
        <f>'PLANILHA ORÇAMENTÁRIA'!H5</f>
        <v>SICRO</v>
      </c>
    </row>
    <row r="6" spans="1:14" x14ac:dyDescent="0.25">
      <c r="A6" s="32" t="s">
        <v>14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7"/>
      <c r="N6" s="24" t="str">
        <f>'PLANILHA ORÇAMENTÁRIA'!H6</f>
        <v>AP - Setembro/2017</v>
      </c>
    </row>
    <row r="7" spans="1:14" ht="22.5" customHeight="1" x14ac:dyDescent="0.25">
      <c r="A7" s="388" t="s">
        <v>416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1:14" ht="20.25" customHeight="1" x14ac:dyDescent="0.25">
      <c r="A8" s="388" t="s">
        <v>377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1:14" ht="30" x14ac:dyDescent="0.25">
      <c r="A9" s="25" t="s">
        <v>352</v>
      </c>
      <c r="B9" s="25" t="s">
        <v>378</v>
      </c>
      <c r="C9" s="25" t="s">
        <v>379</v>
      </c>
      <c r="D9" s="25" t="s">
        <v>380</v>
      </c>
      <c r="E9" s="25" t="s">
        <v>752</v>
      </c>
      <c r="F9" s="25" t="s">
        <v>753</v>
      </c>
      <c r="G9" s="25" t="s">
        <v>754</v>
      </c>
      <c r="H9" s="25" t="s">
        <v>3</v>
      </c>
      <c r="I9" s="25" t="s">
        <v>556</v>
      </c>
      <c r="J9" s="25" t="s">
        <v>755</v>
      </c>
      <c r="K9" s="33" t="s">
        <v>382</v>
      </c>
      <c r="L9" s="25" t="s">
        <v>383</v>
      </c>
      <c r="M9" s="25" t="s">
        <v>1</v>
      </c>
      <c r="N9" s="25" t="s">
        <v>384</v>
      </c>
    </row>
    <row r="10" spans="1:14" ht="60" x14ac:dyDescent="0.25">
      <c r="A10" s="26" t="s">
        <v>756</v>
      </c>
      <c r="B10" s="34" t="s">
        <v>390</v>
      </c>
      <c r="C10" s="35"/>
      <c r="D10" s="35"/>
      <c r="E10" s="35"/>
      <c r="F10" s="35"/>
      <c r="G10" s="35"/>
      <c r="H10" s="35"/>
      <c r="I10" s="36">
        <v>0.5</v>
      </c>
      <c r="J10" s="36">
        <v>187.7157</v>
      </c>
      <c r="K10" s="46" t="e">
        <f>(((F10*E10*I10)/G10)*J10)*H10</f>
        <v>#DIV/0!</v>
      </c>
      <c r="L10" s="36" t="s">
        <v>17</v>
      </c>
      <c r="M10" s="36" t="s">
        <v>388</v>
      </c>
      <c r="N10" s="34" t="s">
        <v>387</v>
      </c>
    </row>
    <row r="11" spans="1:14" ht="45" x14ac:dyDescent="0.25">
      <c r="A11" s="26" t="s">
        <v>757</v>
      </c>
      <c r="B11" s="40" t="s">
        <v>391</v>
      </c>
      <c r="C11" s="35"/>
      <c r="D11" s="35"/>
      <c r="E11" s="35"/>
      <c r="F11" s="35"/>
      <c r="G11" s="35"/>
      <c r="H11" s="35"/>
      <c r="I11" s="36">
        <v>0.5</v>
      </c>
      <c r="J11" s="36">
        <v>187.7157</v>
      </c>
      <c r="K11" s="46" t="e">
        <f t="shared" ref="K11:K29" si="0">(((F11*E11*I11)/G11)*J11)*H11</f>
        <v>#DIV/0!</v>
      </c>
      <c r="L11" s="36" t="s">
        <v>17</v>
      </c>
      <c r="M11" s="36" t="s">
        <v>388</v>
      </c>
      <c r="N11" s="34" t="s">
        <v>387</v>
      </c>
    </row>
    <row r="12" spans="1:14" ht="60" x14ac:dyDescent="0.25">
      <c r="A12" s="26" t="s">
        <v>758</v>
      </c>
      <c r="B12" s="34" t="s">
        <v>392</v>
      </c>
      <c r="C12" s="35"/>
      <c r="D12" s="35"/>
      <c r="E12" s="35"/>
      <c r="F12" s="35"/>
      <c r="G12" s="35"/>
      <c r="H12" s="35"/>
      <c r="I12" s="36">
        <v>0.5</v>
      </c>
      <c r="J12" s="36">
        <v>187.7157</v>
      </c>
      <c r="K12" s="46" t="e">
        <f t="shared" si="0"/>
        <v>#DIV/0!</v>
      </c>
      <c r="L12" s="36" t="s">
        <v>17</v>
      </c>
      <c r="M12" s="36" t="s">
        <v>388</v>
      </c>
      <c r="N12" s="34" t="s">
        <v>387</v>
      </c>
    </row>
    <row r="13" spans="1:14" ht="48.75" customHeight="1" x14ac:dyDescent="0.25">
      <c r="A13" s="26" t="s">
        <v>759</v>
      </c>
      <c r="B13" s="34" t="s">
        <v>393</v>
      </c>
      <c r="C13" s="35"/>
      <c r="D13" s="35"/>
      <c r="E13" s="35"/>
      <c r="F13" s="35"/>
      <c r="G13" s="35"/>
      <c r="H13" s="35"/>
      <c r="I13" s="36">
        <v>0.5</v>
      </c>
      <c r="J13" s="36">
        <v>187.7157</v>
      </c>
      <c r="K13" s="46" t="e">
        <f t="shared" si="0"/>
        <v>#DIV/0!</v>
      </c>
      <c r="L13" s="36" t="s">
        <v>17</v>
      </c>
      <c r="M13" s="36" t="s">
        <v>388</v>
      </c>
      <c r="N13" s="34" t="s">
        <v>387</v>
      </c>
    </row>
    <row r="14" spans="1:14" ht="45" x14ac:dyDescent="0.25">
      <c r="A14" s="26" t="s">
        <v>760</v>
      </c>
      <c r="B14" s="34" t="s">
        <v>394</v>
      </c>
      <c r="C14" s="35"/>
      <c r="D14" s="35"/>
      <c r="E14" s="35"/>
      <c r="F14" s="35"/>
      <c r="G14" s="35"/>
      <c r="H14" s="35"/>
      <c r="I14" s="36">
        <v>1</v>
      </c>
      <c r="J14" s="36">
        <v>187.7157</v>
      </c>
      <c r="K14" s="46" t="e">
        <f t="shared" si="0"/>
        <v>#DIV/0!</v>
      </c>
      <c r="L14" s="36" t="s">
        <v>17</v>
      </c>
      <c r="M14" s="36" t="s">
        <v>388</v>
      </c>
      <c r="N14" s="34" t="s">
        <v>387</v>
      </c>
    </row>
    <row r="15" spans="1:14" ht="45" x14ac:dyDescent="0.25">
      <c r="A15" s="26" t="s">
        <v>761</v>
      </c>
      <c r="B15" s="34" t="s">
        <v>395</v>
      </c>
      <c r="C15" s="35"/>
      <c r="D15" s="35"/>
      <c r="E15" s="35"/>
      <c r="F15" s="35"/>
      <c r="G15" s="35"/>
      <c r="H15" s="35"/>
      <c r="I15" s="36">
        <v>0.33300000000000002</v>
      </c>
      <c r="J15" s="36">
        <v>187.7157</v>
      </c>
      <c r="K15" s="46" t="e">
        <f t="shared" si="0"/>
        <v>#DIV/0!</v>
      </c>
      <c r="L15" s="36" t="s">
        <v>17</v>
      </c>
      <c r="M15" s="36" t="s">
        <v>388</v>
      </c>
      <c r="N15" s="34" t="s">
        <v>387</v>
      </c>
    </row>
    <row r="16" spans="1:14" ht="45" x14ac:dyDescent="0.25">
      <c r="A16" s="26" t="s">
        <v>762</v>
      </c>
      <c r="B16" s="34" t="s">
        <v>396</v>
      </c>
      <c r="C16" s="35"/>
      <c r="D16" s="35"/>
      <c r="E16" s="35"/>
      <c r="F16" s="35"/>
      <c r="G16" s="35"/>
      <c r="H16" s="35"/>
      <c r="I16" s="36">
        <v>0.33300000000000002</v>
      </c>
      <c r="J16" s="36">
        <v>187.7157</v>
      </c>
      <c r="K16" s="46" t="e">
        <f t="shared" si="0"/>
        <v>#DIV/0!</v>
      </c>
      <c r="L16" s="36" t="s">
        <v>17</v>
      </c>
      <c r="M16" s="36" t="s">
        <v>388</v>
      </c>
      <c r="N16" s="34" t="s">
        <v>387</v>
      </c>
    </row>
    <row r="17" spans="1:14" ht="45" x14ac:dyDescent="0.25">
      <c r="A17" s="26" t="s">
        <v>763</v>
      </c>
      <c r="B17" s="41" t="s">
        <v>397</v>
      </c>
      <c r="C17" s="35"/>
      <c r="D17" s="35"/>
      <c r="E17" s="35"/>
      <c r="F17" s="35"/>
      <c r="G17" s="35"/>
      <c r="H17" s="35"/>
      <c r="I17" s="36">
        <v>0.5</v>
      </c>
      <c r="J17" s="36">
        <v>187.7157</v>
      </c>
      <c r="K17" s="46" t="e">
        <f t="shared" si="0"/>
        <v>#DIV/0!</v>
      </c>
      <c r="L17" s="36" t="s">
        <v>17</v>
      </c>
      <c r="M17" s="36" t="s">
        <v>388</v>
      </c>
      <c r="N17" s="34" t="s">
        <v>387</v>
      </c>
    </row>
    <row r="18" spans="1:14" ht="30" x14ac:dyDescent="0.25">
      <c r="A18" s="26" t="s">
        <v>764</v>
      </c>
      <c r="B18" s="41" t="s">
        <v>398</v>
      </c>
      <c r="C18" s="35"/>
      <c r="D18" s="35"/>
      <c r="E18" s="35"/>
      <c r="F18" s="35"/>
      <c r="G18" s="35"/>
      <c r="H18" s="35"/>
      <c r="I18" s="36">
        <v>1</v>
      </c>
      <c r="J18" s="36">
        <v>187.7157</v>
      </c>
      <c r="K18" s="46" t="e">
        <f t="shared" si="0"/>
        <v>#DIV/0!</v>
      </c>
      <c r="L18" s="36" t="s">
        <v>17</v>
      </c>
      <c r="M18" s="36" t="s">
        <v>388</v>
      </c>
      <c r="N18" s="34" t="s">
        <v>387</v>
      </c>
    </row>
    <row r="19" spans="1:14" ht="45" x14ac:dyDescent="0.25">
      <c r="A19" s="26" t="s">
        <v>765</v>
      </c>
      <c r="B19" s="41" t="s">
        <v>399</v>
      </c>
      <c r="C19" s="35"/>
      <c r="D19" s="35"/>
      <c r="E19" s="35"/>
      <c r="F19" s="35"/>
      <c r="G19" s="35"/>
      <c r="H19" s="35"/>
      <c r="I19" s="36">
        <v>0.5</v>
      </c>
      <c r="J19" s="36">
        <v>187.7157</v>
      </c>
      <c r="K19" s="46" t="e">
        <f t="shared" si="0"/>
        <v>#DIV/0!</v>
      </c>
      <c r="L19" s="36" t="s">
        <v>17</v>
      </c>
      <c r="M19" s="36" t="s">
        <v>388</v>
      </c>
      <c r="N19" s="34" t="s">
        <v>387</v>
      </c>
    </row>
    <row r="20" spans="1:14" ht="30" x14ac:dyDescent="0.25">
      <c r="A20" s="26" t="s">
        <v>766</v>
      </c>
      <c r="B20" s="41" t="s">
        <v>400</v>
      </c>
      <c r="C20" s="35"/>
      <c r="D20" s="35"/>
      <c r="E20" s="35"/>
      <c r="F20" s="35"/>
      <c r="G20" s="35"/>
      <c r="H20" s="35"/>
      <c r="I20" s="36">
        <v>0.33</v>
      </c>
      <c r="J20" s="36">
        <v>187.7157</v>
      </c>
      <c r="K20" s="46" t="e">
        <f t="shared" si="0"/>
        <v>#DIV/0!</v>
      </c>
      <c r="L20" s="36" t="s">
        <v>17</v>
      </c>
      <c r="M20" s="36" t="s">
        <v>388</v>
      </c>
      <c r="N20" s="34" t="s">
        <v>387</v>
      </c>
    </row>
    <row r="21" spans="1:14" ht="45" x14ac:dyDescent="0.25">
      <c r="A21" s="26" t="s">
        <v>767</v>
      </c>
      <c r="B21" s="41" t="s">
        <v>401</v>
      </c>
      <c r="C21" s="35"/>
      <c r="D21" s="35"/>
      <c r="E21" s="35"/>
      <c r="F21" s="35"/>
      <c r="G21" s="35"/>
      <c r="H21" s="35"/>
      <c r="I21" s="36">
        <v>1</v>
      </c>
      <c r="J21" s="36">
        <v>187.7157</v>
      </c>
      <c r="K21" s="46" t="e">
        <f t="shared" si="0"/>
        <v>#DIV/0!</v>
      </c>
      <c r="L21" s="36" t="s">
        <v>17</v>
      </c>
      <c r="M21" s="36" t="s">
        <v>388</v>
      </c>
      <c r="N21" s="34" t="s">
        <v>387</v>
      </c>
    </row>
    <row r="22" spans="1:14" ht="30" x14ac:dyDescent="0.25">
      <c r="A22" s="26" t="s">
        <v>768</v>
      </c>
      <c r="B22" s="41" t="s">
        <v>402</v>
      </c>
      <c r="C22" s="35"/>
      <c r="D22" s="35"/>
      <c r="E22" s="35"/>
      <c r="F22" s="35"/>
      <c r="G22" s="35"/>
      <c r="H22" s="35"/>
      <c r="I22" s="36">
        <v>1</v>
      </c>
      <c r="J22" s="36">
        <v>187.7157</v>
      </c>
      <c r="K22" s="46" t="e">
        <f t="shared" si="0"/>
        <v>#DIV/0!</v>
      </c>
      <c r="L22" s="36" t="s">
        <v>17</v>
      </c>
      <c r="M22" s="36" t="s">
        <v>388</v>
      </c>
      <c r="N22" s="34" t="s">
        <v>387</v>
      </c>
    </row>
    <row r="23" spans="1:14" ht="30" x14ac:dyDescent="0.25">
      <c r="A23" s="26" t="s">
        <v>769</v>
      </c>
      <c r="B23" s="41" t="s">
        <v>403</v>
      </c>
      <c r="C23" s="35"/>
      <c r="D23" s="35"/>
      <c r="E23" s="35"/>
      <c r="F23" s="35"/>
      <c r="G23" s="35"/>
      <c r="H23" s="35"/>
      <c r="I23" s="36">
        <v>0.2</v>
      </c>
      <c r="J23" s="36">
        <v>187.7157</v>
      </c>
      <c r="K23" s="46" t="e">
        <f t="shared" si="0"/>
        <v>#DIV/0!</v>
      </c>
      <c r="L23" s="36" t="s">
        <v>17</v>
      </c>
      <c r="M23" s="36" t="s">
        <v>388</v>
      </c>
      <c r="N23" s="34" t="s">
        <v>387</v>
      </c>
    </row>
    <row r="24" spans="1:14" ht="45" x14ac:dyDescent="0.25">
      <c r="A24" s="26" t="s">
        <v>770</v>
      </c>
      <c r="B24" s="27" t="s">
        <v>459</v>
      </c>
      <c r="C24" s="35"/>
      <c r="D24" s="35"/>
      <c r="E24" s="35"/>
      <c r="F24" s="35"/>
      <c r="G24" s="35"/>
      <c r="H24" s="35"/>
      <c r="I24" s="36">
        <v>0.5</v>
      </c>
      <c r="J24" s="36">
        <v>187.7157</v>
      </c>
      <c r="K24" s="46" t="e">
        <f t="shared" si="0"/>
        <v>#DIV/0!</v>
      </c>
      <c r="L24" s="36" t="s">
        <v>17</v>
      </c>
      <c r="M24" s="36" t="s">
        <v>388</v>
      </c>
      <c r="N24" s="34" t="s">
        <v>387</v>
      </c>
    </row>
    <row r="25" spans="1:14" ht="30" x14ac:dyDescent="0.25">
      <c r="A25" s="26" t="s">
        <v>771</v>
      </c>
      <c r="B25" s="41" t="s">
        <v>404</v>
      </c>
      <c r="C25" s="35"/>
      <c r="D25" s="35"/>
      <c r="E25" s="35"/>
      <c r="F25" s="35"/>
      <c r="G25" s="35"/>
      <c r="H25" s="35"/>
      <c r="I25" s="36">
        <v>0.5</v>
      </c>
      <c r="J25" s="36">
        <v>187.7157</v>
      </c>
      <c r="K25" s="46" t="e">
        <f t="shared" si="0"/>
        <v>#DIV/0!</v>
      </c>
      <c r="L25" s="36" t="s">
        <v>17</v>
      </c>
      <c r="M25" s="36" t="s">
        <v>388</v>
      </c>
      <c r="N25" s="34" t="s">
        <v>387</v>
      </c>
    </row>
    <row r="26" spans="1:14" ht="30" x14ac:dyDescent="0.25">
      <c r="A26" s="26" t="s">
        <v>772</v>
      </c>
      <c r="B26" s="42" t="s">
        <v>561</v>
      </c>
      <c r="C26" s="37"/>
      <c r="D26" s="37"/>
      <c r="E26" s="37"/>
      <c r="F26" s="37"/>
      <c r="G26" s="37"/>
      <c r="H26" s="37"/>
      <c r="I26" s="36">
        <v>0.5</v>
      </c>
      <c r="J26" s="36">
        <v>187.7157</v>
      </c>
      <c r="K26" s="46" t="e">
        <f t="shared" si="0"/>
        <v>#DIV/0!</v>
      </c>
      <c r="L26" s="43" t="s">
        <v>16</v>
      </c>
      <c r="M26" s="36" t="s">
        <v>388</v>
      </c>
      <c r="N26" s="34" t="s">
        <v>387</v>
      </c>
    </row>
    <row r="27" spans="1:14" ht="30" x14ac:dyDescent="0.25">
      <c r="A27" s="26" t="s">
        <v>773</v>
      </c>
      <c r="B27" s="42" t="s">
        <v>563</v>
      </c>
      <c r="C27" s="37"/>
      <c r="D27" s="37"/>
      <c r="E27" s="37"/>
      <c r="F27" s="37"/>
      <c r="G27" s="37"/>
      <c r="H27" s="37"/>
      <c r="I27" s="36">
        <v>1</v>
      </c>
      <c r="J27" s="36">
        <v>187.7157</v>
      </c>
      <c r="K27" s="46" t="e">
        <f t="shared" si="0"/>
        <v>#DIV/0!</v>
      </c>
      <c r="L27" s="43" t="s">
        <v>16</v>
      </c>
      <c r="M27" s="36" t="s">
        <v>388</v>
      </c>
      <c r="N27" s="34" t="s">
        <v>387</v>
      </c>
    </row>
    <row r="28" spans="1:14" ht="30" x14ac:dyDescent="0.25">
      <c r="A28" s="26" t="s">
        <v>774</v>
      </c>
      <c r="B28" s="42" t="s">
        <v>565</v>
      </c>
      <c r="C28" s="37"/>
      <c r="D28" s="37"/>
      <c r="E28" s="37"/>
      <c r="F28" s="37"/>
      <c r="G28" s="37"/>
      <c r="H28" s="37"/>
      <c r="I28" s="36">
        <v>0.5</v>
      </c>
      <c r="J28" s="36">
        <v>187.7157</v>
      </c>
      <c r="K28" s="46" t="e">
        <f t="shared" si="0"/>
        <v>#DIV/0!</v>
      </c>
      <c r="L28" s="43" t="s">
        <v>16</v>
      </c>
      <c r="M28" s="36" t="s">
        <v>388</v>
      </c>
      <c r="N28" s="34" t="s">
        <v>387</v>
      </c>
    </row>
    <row r="29" spans="1:14" ht="45" x14ac:dyDescent="0.25">
      <c r="A29" s="26" t="s">
        <v>775</v>
      </c>
      <c r="B29" s="42" t="s">
        <v>394</v>
      </c>
      <c r="C29" s="37"/>
      <c r="D29" s="37"/>
      <c r="E29" s="37"/>
      <c r="F29" s="37"/>
      <c r="G29" s="37"/>
      <c r="H29" s="37"/>
      <c r="I29" s="36">
        <v>1</v>
      </c>
      <c r="J29" s="36">
        <v>187.7157</v>
      </c>
      <c r="K29" s="46" t="e">
        <f t="shared" si="0"/>
        <v>#DIV/0!</v>
      </c>
      <c r="L29" s="43" t="s">
        <v>16</v>
      </c>
      <c r="M29" s="36" t="s">
        <v>388</v>
      </c>
      <c r="N29" s="34" t="s">
        <v>387</v>
      </c>
    </row>
    <row r="30" spans="1:14" ht="30" x14ac:dyDescent="0.25">
      <c r="A30" s="25" t="s">
        <v>353</v>
      </c>
      <c r="B30" s="25" t="s">
        <v>776</v>
      </c>
      <c r="C30" s="25" t="s">
        <v>379</v>
      </c>
      <c r="D30" s="25" t="s">
        <v>380</v>
      </c>
      <c r="E30" s="25" t="s">
        <v>752</v>
      </c>
      <c r="F30" s="25" t="s">
        <v>753</v>
      </c>
      <c r="G30" s="25" t="s">
        <v>754</v>
      </c>
      <c r="H30" s="25" t="s">
        <v>3</v>
      </c>
      <c r="I30" s="25" t="s">
        <v>556</v>
      </c>
      <c r="J30" s="25" t="s">
        <v>755</v>
      </c>
      <c r="K30" s="33" t="s">
        <v>382</v>
      </c>
      <c r="L30" s="25" t="s">
        <v>383</v>
      </c>
      <c r="M30" s="25" t="s">
        <v>1</v>
      </c>
      <c r="N30" s="25" t="s">
        <v>384</v>
      </c>
    </row>
    <row r="31" spans="1:14" ht="60" x14ac:dyDescent="0.25">
      <c r="A31" s="43" t="s">
        <v>777</v>
      </c>
      <c r="B31" s="44" t="s">
        <v>457</v>
      </c>
      <c r="C31" s="37"/>
      <c r="D31" s="37"/>
      <c r="E31" s="37"/>
      <c r="F31" s="37"/>
      <c r="G31" s="37"/>
      <c r="H31" s="37"/>
      <c r="I31" s="36">
        <v>1</v>
      </c>
      <c r="J31" s="374">
        <v>160.54</v>
      </c>
      <c r="K31" s="46" t="e">
        <f>(((F31*E31*I31)/G31)*J31)*H31</f>
        <v>#DIV/0!</v>
      </c>
      <c r="L31" s="43" t="s">
        <v>16</v>
      </c>
      <c r="M31" s="43">
        <v>5901</v>
      </c>
      <c r="N31" s="43" t="s">
        <v>389</v>
      </c>
    </row>
    <row r="32" spans="1:14" ht="60" x14ac:dyDescent="0.25">
      <c r="A32" s="43" t="s">
        <v>778</v>
      </c>
      <c r="B32" s="44" t="s">
        <v>405</v>
      </c>
      <c r="C32" s="37"/>
      <c r="D32" s="37"/>
      <c r="E32" s="37"/>
      <c r="F32" s="37"/>
      <c r="G32" s="37"/>
      <c r="H32" s="37"/>
      <c r="I32" s="36">
        <v>1</v>
      </c>
      <c r="J32" s="374">
        <v>167.94</v>
      </c>
      <c r="K32" s="46" t="e">
        <f t="shared" ref="K32:K40" si="1">(((F32*E32*I32)/G32)*J32)*H32</f>
        <v>#DIV/0!</v>
      </c>
      <c r="L32" s="43" t="s">
        <v>16</v>
      </c>
      <c r="M32" s="43">
        <v>83362</v>
      </c>
      <c r="N32" s="43" t="s">
        <v>389</v>
      </c>
    </row>
    <row r="33" spans="1:14" ht="45" x14ac:dyDescent="0.25">
      <c r="A33" s="43" t="s">
        <v>779</v>
      </c>
      <c r="B33" s="45" t="s">
        <v>406</v>
      </c>
      <c r="C33" s="37"/>
      <c r="D33" s="37"/>
      <c r="E33" s="37"/>
      <c r="F33" s="37"/>
      <c r="G33" s="37"/>
      <c r="H33" s="37"/>
      <c r="I33" s="36">
        <v>1</v>
      </c>
      <c r="J33" s="374">
        <v>161.16999999999999</v>
      </c>
      <c r="K33" s="46" t="e">
        <f t="shared" si="1"/>
        <v>#DIV/0!</v>
      </c>
      <c r="L33" s="43" t="s">
        <v>16</v>
      </c>
      <c r="M33" s="43">
        <v>5811</v>
      </c>
      <c r="N33" s="43" t="s">
        <v>389</v>
      </c>
    </row>
    <row r="34" spans="1:14" ht="45" x14ac:dyDescent="0.25">
      <c r="A34" s="43" t="s">
        <v>780</v>
      </c>
      <c r="B34" s="45" t="s">
        <v>407</v>
      </c>
      <c r="C34" s="37"/>
      <c r="D34" s="37"/>
      <c r="E34" s="37"/>
      <c r="F34" s="37"/>
      <c r="G34" s="37"/>
      <c r="H34" s="37"/>
      <c r="I34" s="36">
        <v>1</v>
      </c>
      <c r="J34" s="374">
        <v>172.15</v>
      </c>
      <c r="K34" s="46" t="e">
        <f t="shared" si="1"/>
        <v>#DIV/0!</v>
      </c>
      <c r="L34" s="43" t="s">
        <v>16</v>
      </c>
      <c r="M34" s="43">
        <v>96035</v>
      </c>
      <c r="N34" s="43" t="s">
        <v>389</v>
      </c>
    </row>
    <row r="35" spans="1:14" s="15" customFormat="1" ht="60" x14ac:dyDescent="0.25">
      <c r="A35" s="43" t="s">
        <v>781</v>
      </c>
      <c r="B35" s="42" t="s">
        <v>408</v>
      </c>
      <c r="C35" s="37"/>
      <c r="D35" s="37"/>
      <c r="E35" s="37"/>
      <c r="F35" s="37"/>
      <c r="G35" s="37"/>
      <c r="H35" s="37"/>
      <c r="I35" s="36">
        <v>1</v>
      </c>
      <c r="J35" s="374">
        <v>231.02</v>
      </c>
      <c r="K35" s="46" t="e">
        <f t="shared" si="1"/>
        <v>#DIV/0!</v>
      </c>
      <c r="L35" s="43" t="s">
        <v>16</v>
      </c>
      <c r="M35" s="43">
        <v>89883</v>
      </c>
      <c r="N35" s="43" t="s">
        <v>389</v>
      </c>
    </row>
    <row r="36" spans="1:14" ht="60" x14ac:dyDescent="0.25">
      <c r="A36" s="43" t="s">
        <v>782</v>
      </c>
      <c r="B36" s="42" t="s">
        <v>409</v>
      </c>
      <c r="C36" s="37"/>
      <c r="D36" s="37"/>
      <c r="E36" s="37"/>
      <c r="F36" s="37"/>
      <c r="G36" s="37"/>
      <c r="H36" s="37"/>
      <c r="I36" s="36">
        <v>1</v>
      </c>
      <c r="J36" s="374">
        <v>205.95</v>
      </c>
      <c r="K36" s="46" t="e">
        <f t="shared" si="1"/>
        <v>#DIV/0!</v>
      </c>
      <c r="L36" s="43" t="s">
        <v>16</v>
      </c>
      <c r="M36" s="43">
        <v>89876</v>
      </c>
      <c r="N36" s="43" t="s">
        <v>389</v>
      </c>
    </row>
    <row r="37" spans="1:14" ht="60" x14ac:dyDescent="0.25">
      <c r="A37" s="43" t="s">
        <v>783</v>
      </c>
      <c r="B37" s="42" t="s">
        <v>410</v>
      </c>
      <c r="C37" s="37"/>
      <c r="D37" s="37"/>
      <c r="E37" s="37"/>
      <c r="F37" s="37"/>
      <c r="G37" s="37"/>
      <c r="H37" s="37"/>
      <c r="I37" s="36">
        <v>1</v>
      </c>
      <c r="J37" s="374">
        <v>243.37</v>
      </c>
      <c r="K37" s="46" t="e">
        <f t="shared" si="1"/>
        <v>#DIV/0!</v>
      </c>
      <c r="L37" s="43" t="s">
        <v>16</v>
      </c>
      <c r="M37" s="43">
        <v>91645</v>
      </c>
      <c r="N37" s="43" t="s">
        <v>389</v>
      </c>
    </row>
    <row r="38" spans="1:14" ht="60" x14ac:dyDescent="0.25">
      <c r="A38" s="43" t="s">
        <v>784</v>
      </c>
      <c r="B38" s="42" t="s">
        <v>562</v>
      </c>
      <c r="C38" s="37"/>
      <c r="D38" s="37"/>
      <c r="E38" s="37"/>
      <c r="F38" s="37"/>
      <c r="G38" s="37"/>
      <c r="H38" s="37"/>
      <c r="I38" s="36">
        <v>1</v>
      </c>
      <c r="J38" s="374">
        <v>132.9</v>
      </c>
      <c r="K38" s="46" t="e">
        <f t="shared" si="1"/>
        <v>#DIV/0!</v>
      </c>
      <c r="L38" s="43" t="s">
        <v>16</v>
      </c>
      <c r="M38" s="43" t="s">
        <v>786</v>
      </c>
      <c r="N38" s="43" t="s">
        <v>389</v>
      </c>
    </row>
    <row r="39" spans="1:14" ht="60" x14ac:dyDescent="0.25">
      <c r="A39" s="43" t="s">
        <v>785</v>
      </c>
      <c r="B39" s="42" t="s">
        <v>564</v>
      </c>
      <c r="C39" s="37"/>
      <c r="D39" s="37"/>
      <c r="E39" s="37"/>
      <c r="F39" s="37"/>
      <c r="G39" s="37"/>
      <c r="H39" s="37"/>
      <c r="I39" s="36">
        <v>1</v>
      </c>
      <c r="J39" s="374">
        <v>165.52</v>
      </c>
      <c r="K39" s="46" t="e">
        <f t="shared" si="1"/>
        <v>#DIV/0!</v>
      </c>
      <c r="L39" s="43" t="s">
        <v>16</v>
      </c>
      <c r="M39" s="43" t="s">
        <v>567</v>
      </c>
      <c r="N39" s="43" t="s">
        <v>389</v>
      </c>
    </row>
    <row r="40" spans="1:14" ht="60" x14ac:dyDescent="0.25">
      <c r="A40" s="43" t="s">
        <v>787</v>
      </c>
      <c r="B40" s="42" t="s">
        <v>569</v>
      </c>
      <c r="C40" s="37"/>
      <c r="D40" s="37"/>
      <c r="E40" s="37"/>
      <c r="F40" s="37"/>
      <c r="G40" s="37"/>
      <c r="H40" s="37"/>
      <c r="I40" s="36">
        <v>1</v>
      </c>
      <c r="J40" s="374">
        <v>214.96</v>
      </c>
      <c r="K40" s="46" t="e">
        <f t="shared" si="1"/>
        <v>#DIV/0!</v>
      </c>
      <c r="L40" s="43" t="s">
        <v>16</v>
      </c>
      <c r="M40" s="43" t="s">
        <v>568</v>
      </c>
      <c r="N40" s="43" t="s">
        <v>389</v>
      </c>
    </row>
    <row r="41" spans="1:14" x14ac:dyDescent="0.25">
      <c r="A41" s="387" t="s">
        <v>50</v>
      </c>
      <c r="B41" s="393"/>
      <c r="C41" s="393"/>
      <c r="D41" s="393"/>
      <c r="E41" s="393"/>
      <c r="F41" s="393"/>
      <c r="G41" s="393"/>
      <c r="H41" s="393"/>
      <c r="I41" s="393"/>
      <c r="J41" s="393"/>
      <c r="K41" s="47" t="e">
        <f>SUM(K10:K40)</f>
        <v>#DIV/0!</v>
      </c>
      <c r="L41" s="48"/>
      <c r="M41" s="48"/>
      <c r="N41" s="48"/>
    </row>
    <row r="42" spans="1:14" ht="52.5" customHeight="1" x14ac:dyDescent="0.25">
      <c r="A42" s="49" t="s">
        <v>788</v>
      </c>
      <c r="B42" s="393"/>
      <c r="C42" s="393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</row>
    <row r="43" spans="1:14" ht="42.75" customHeight="1" x14ac:dyDescent="0.25">
      <c r="A43" s="39" t="s">
        <v>411</v>
      </c>
      <c r="B43" s="394" t="s">
        <v>468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</row>
    <row r="44" spans="1:14" ht="36.75" customHeight="1" x14ac:dyDescent="0.25">
      <c r="A44" s="39" t="s">
        <v>412</v>
      </c>
      <c r="B44" s="394" t="s">
        <v>559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</row>
    <row r="45" spans="1:14" ht="46.5" customHeight="1" x14ac:dyDescent="0.25">
      <c r="A45" s="39" t="s">
        <v>413</v>
      </c>
      <c r="B45" s="394" t="s">
        <v>560</v>
      </c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</row>
    <row r="46" spans="1:14" ht="29.25" customHeight="1" x14ac:dyDescent="0.25">
      <c r="A46" s="395" t="s">
        <v>597</v>
      </c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</row>
    <row r="47" spans="1:14" ht="90" customHeight="1" x14ac:dyDescent="0.25">
      <c r="A47" s="384" t="s">
        <v>597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566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566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  <mergeCell ref="A46:N46"/>
    <mergeCell ref="A47:N47"/>
    <mergeCell ref="B44:N44"/>
    <mergeCell ref="B45:N45"/>
  </mergeCells>
  <pageMargins left="0.51181102362204722" right="0.51181102362204722" top="0.78740157480314965" bottom="0.78740157480314965" header="0.31496062992125984" footer="0.31496062992125984"/>
  <pageSetup paperSize="9" scale="46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M16" sqref="M16"/>
    </sheetView>
  </sheetViews>
  <sheetFormatPr defaultRowHeight="15" x14ac:dyDescent="0.25"/>
  <cols>
    <col min="1" max="1" width="9.140625" style="50"/>
    <col min="2" max="2" width="11" style="50" customWidth="1"/>
    <col min="3" max="3" width="48.7109375" style="50" customWidth="1"/>
    <col min="4" max="4" width="11.85546875" style="50" customWidth="1"/>
    <col min="5" max="5" width="13.140625" style="14" bestFit="1" customWidth="1"/>
    <col min="6" max="6" width="16.7109375" style="50" customWidth="1"/>
    <col min="7" max="7" width="15.85546875" style="50" customWidth="1"/>
    <col min="8" max="9" width="12.85546875" style="50" customWidth="1"/>
    <col min="10" max="10" width="14.7109375" style="50" customWidth="1"/>
    <col min="11" max="11" width="19.7109375" style="50" customWidth="1"/>
    <col min="12" max="16384" width="9.140625" style="50"/>
  </cols>
  <sheetData>
    <row r="1" spans="1:11" ht="90" customHeight="1" x14ac:dyDescent="0.25">
      <c r="A1" s="386" t="s">
        <v>806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8.75" x14ac:dyDescent="0.25">
      <c r="A2" s="389" t="s">
        <v>460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1" x14ac:dyDescent="0.25">
      <c r="A3" s="22" t="s">
        <v>11</v>
      </c>
      <c r="B3" s="399"/>
      <c r="C3" s="400"/>
      <c r="D3" s="400"/>
      <c r="E3" s="400"/>
      <c r="F3" s="400"/>
      <c r="G3" s="400"/>
      <c r="H3" s="400"/>
      <c r="I3" s="401"/>
      <c r="J3" s="392" t="s">
        <v>15</v>
      </c>
      <c r="K3" s="23" t="str">
        <f>'PLANILHA ORÇAMENTÁRIA'!H3</f>
        <v>SINAPI</v>
      </c>
    </row>
    <row r="4" spans="1:11" x14ac:dyDescent="0.25">
      <c r="A4" s="22" t="s">
        <v>12</v>
      </c>
      <c r="B4" s="399"/>
      <c r="C4" s="400"/>
      <c r="D4" s="400"/>
      <c r="E4" s="400"/>
      <c r="F4" s="400"/>
      <c r="G4" s="400"/>
      <c r="H4" s="400"/>
      <c r="I4" s="401"/>
      <c r="J4" s="392"/>
      <c r="K4" s="24" t="str">
        <f>'PLANILHA ORÇAMENTÁRIA'!H4</f>
        <v>AP - Janeiro/2018</v>
      </c>
    </row>
    <row r="5" spans="1:11" x14ac:dyDescent="0.25">
      <c r="A5" s="22" t="s">
        <v>13</v>
      </c>
      <c r="B5" s="399"/>
      <c r="C5" s="400"/>
      <c r="D5" s="400"/>
      <c r="E5" s="400"/>
      <c r="F5" s="400"/>
      <c r="G5" s="400"/>
      <c r="H5" s="400"/>
      <c r="I5" s="401"/>
      <c r="J5" s="397">
        <f>BDI!I23</f>
        <v>0.31126118815198645</v>
      </c>
      <c r="K5" s="23" t="str">
        <f>'PLANILHA ORÇAMENTÁRIA'!H5</f>
        <v>SICRO</v>
      </c>
    </row>
    <row r="6" spans="1:11" x14ac:dyDescent="0.25">
      <c r="A6" s="22" t="s">
        <v>14</v>
      </c>
      <c r="B6" s="399"/>
      <c r="C6" s="400"/>
      <c r="D6" s="400"/>
      <c r="E6" s="400"/>
      <c r="F6" s="400"/>
      <c r="G6" s="400"/>
      <c r="H6" s="400"/>
      <c r="I6" s="401"/>
      <c r="J6" s="397"/>
      <c r="K6" s="24" t="str">
        <f>'PLANILHA ORÇAMENTÁRIA'!H6</f>
        <v>AP - Setembro/2017</v>
      </c>
    </row>
    <row r="7" spans="1:11" ht="30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794</v>
      </c>
      <c r="I7" s="25" t="s">
        <v>793</v>
      </c>
      <c r="J7" s="25" t="s">
        <v>792</v>
      </c>
      <c r="K7" s="25" t="s">
        <v>462</v>
      </c>
    </row>
    <row r="8" spans="1:11" ht="45" x14ac:dyDescent="0.25">
      <c r="A8" s="57" t="s">
        <v>9</v>
      </c>
      <c r="B8" s="58" t="s">
        <v>53</v>
      </c>
      <c r="C8" s="59" t="s">
        <v>463</v>
      </c>
      <c r="D8" s="60" t="s">
        <v>19</v>
      </c>
      <c r="E8" s="51"/>
      <c r="F8" s="57">
        <v>2.52</v>
      </c>
      <c r="G8" s="57">
        <v>1.68</v>
      </c>
      <c r="H8" s="66"/>
      <c r="I8" s="66"/>
      <c r="J8" s="67"/>
      <c r="K8" s="68">
        <f>F8*G8*E8</f>
        <v>0</v>
      </c>
    </row>
    <row r="9" spans="1:11" ht="15.75" x14ac:dyDescent="0.25">
      <c r="A9" s="57" t="s">
        <v>790</v>
      </c>
      <c r="B9" s="58" t="s">
        <v>73</v>
      </c>
      <c r="C9" s="27" t="s">
        <v>74</v>
      </c>
      <c r="D9" s="60" t="s">
        <v>19</v>
      </c>
      <c r="E9" s="52"/>
      <c r="F9" s="53"/>
      <c r="G9" s="53"/>
      <c r="H9" s="66"/>
      <c r="I9" s="66"/>
      <c r="J9" s="67"/>
      <c r="K9" s="68">
        <f>G9*F9</f>
        <v>0</v>
      </c>
    </row>
    <row r="10" spans="1:11" ht="45" x14ac:dyDescent="0.25">
      <c r="A10" s="57" t="s">
        <v>464</v>
      </c>
      <c r="B10" s="58">
        <v>73672</v>
      </c>
      <c r="C10" s="27" t="s">
        <v>570</v>
      </c>
      <c r="D10" s="60" t="s">
        <v>19</v>
      </c>
      <c r="E10" s="52"/>
      <c r="F10" s="53"/>
      <c r="G10" s="53"/>
      <c r="H10" s="66"/>
      <c r="I10" s="66"/>
      <c r="J10" s="67"/>
      <c r="K10" s="68">
        <f>G10*F10</f>
        <v>0</v>
      </c>
    </row>
    <row r="11" spans="1:11" ht="45" x14ac:dyDescent="0.25">
      <c r="A11" s="57" t="s">
        <v>10</v>
      </c>
      <c r="B11" s="58">
        <v>93207</v>
      </c>
      <c r="C11" s="27" t="s">
        <v>465</v>
      </c>
      <c r="D11" s="60" t="s">
        <v>19</v>
      </c>
      <c r="E11" s="52"/>
      <c r="F11" s="53"/>
      <c r="G11" s="53"/>
      <c r="H11" s="66"/>
      <c r="I11" s="66"/>
      <c r="J11" s="67"/>
      <c r="K11" s="68">
        <f>F11*G11*E11</f>
        <v>0</v>
      </c>
    </row>
    <row r="12" spans="1:11" ht="45" x14ac:dyDescent="0.25">
      <c r="A12" s="57" t="s">
        <v>8</v>
      </c>
      <c r="B12" s="58">
        <v>93208</v>
      </c>
      <c r="C12" s="27" t="s">
        <v>75</v>
      </c>
      <c r="D12" s="60" t="s">
        <v>19</v>
      </c>
      <c r="E12" s="52"/>
      <c r="F12" s="53"/>
      <c r="G12" s="53"/>
      <c r="H12" s="66"/>
      <c r="I12" s="66"/>
      <c r="J12" s="67"/>
      <c r="K12" s="68">
        <f>F12*G12*E12</f>
        <v>0</v>
      </c>
    </row>
    <row r="13" spans="1:11" ht="45" x14ac:dyDescent="0.25">
      <c r="A13" s="57" t="s">
        <v>84</v>
      </c>
      <c r="B13" s="58">
        <v>93210</v>
      </c>
      <c r="C13" s="27" t="s">
        <v>76</v>
      </c>
      <c r="D13" s="60" t="s">
        <v>19</v>
      </c>
      <c r="E13" s="52"/>
      <c r="F13" s="54"/>
      <c r="G13" s="54"/>
      <c r="H13" s="66"/>
      <c r="I13" s="66"/>
      <c r="J13" s="67"/>
      <c r="K13" s="68">
        <f>E13*F13*G13</f>
        <v>0</v>
      </c>
    </row>
    <row r="14" spans="1:11" ht="45" x14ac:dyDescent="0.25">
      <c r="A14" s="57" t="s">
        <v>85</v>
      </c>
      <c r="B14" s="58">
        <v>93212</v>
      </c>
      <c r="C14" s="27" t="s">
        <v>77</v>
      </c>
      <c r="D14" s="60" t="s">
        <v>19</v>
      </c>
      <c r="E14" s="52"/>
      <c r="F14" s="53"/>
      <c r="G14" s="53"/>
      <c r="H14" s="66"/>
      <c r="I14" s="66"/>
      <c r="J14" s="67"/>
      <c r="K14" s="68">
        <f>F14*G14*E14</f>
        <v>0</v>
      </c>
    </row>
    <row r="15" spans="1:11" ht="30" x14ac:dyDescent="0.25">
      <c r="A15" s="57" t="s">
        <v>89</v>
      </c>
      <c r="B15" s="58">
        <v>41598</v>
      </c>
      <c r="C15" s="61" t="s">
        <v>466</v>
      </c>
      <c r="D15" s="60" t="s">
        <v>22</v>
      </c>
      <c r="E15" s="51"/>
      <c r="F15" s="57"/>
      <c r="G15" s="66"/>
      <c r="H15" s="66"/>
      <c r="I15" s="66"/>
      <c r="J15" s="67"/>
      <c r="K15" s="68">
        <f>E15</f>
        <v>0</v>
      </c>
    </row>
    <row r="16" spans="1:11" ht="30" x14ac:dyDescent="0.25">
      <c r="A16" s="57" t="s">
        <v>90</v>
      </c>
      <c r="B16" s="58">
        <v>72897</v>
      </c>
      <c r="C16" s="61" t="s">
        <v>55</v>
      </c>
      <c r="D16" s="60" t="s">
        <v>29</v>
      </c>
      <c r="E16" s="65"/>
      <c r="F16" s="53"/>
      <c r="G16" s="53"/>
      <c r="H16" s="53"/>
      <c r="I16" s="57"/>
      <c r="J16" s="69"/>
      <c r="K16" s="68">
        <f>F16*G16*H16</f>
        <v>0</v>
      </c>
    </row>
    <row r="17" spans="1:14" ht="30" x14ac:dyDescent="0.25">
      <c r="A17" s="57" t="s">
        <v>97</v>
      </c>
      <c r="B17" s="62">
        <v>95290</v>
      </c>
      <c r="C17" s="63" t="s">
        <v>78</v>
      </c>
      <c r="D17" s="64" t="s">
        <v>56</v>
      </c>
      <c r="E17" s="65"/>
      <c r="F17" s="53"/>
      <c r="G17" s="53"/>
      <c r="H17" s="54"/>
      <c r="I17" s="54"/>
      <c r="J17" s="55"/>
      <c r="K17" s="68">
        <f>F17*G17*H17*I17*(1+J17)</f>
        <v>0</v>
      </c>
    </row>
    <row r="18" spans="1:14" ht="30" x14ac:dyDescent="0.25">
      <c r="A18" s="57" t="s">
        <v>253</v>
      </c>
      <c r="B18" s="62">
        <v>95296</v>
      </c>
      <c r="C18" s="63" t="s">
        <v>79</v>
      </c>
      <c r="D18" s="64" t="s">
        <v>56</v>
      </c>
      <c r="E18" s="65"/>
      <c r="F18" s="54"/>
      <c r="G18" s="54"/>
      <c r="H18" s="54"/>
      <c r="I18" s="54"/>
      <c r="J18" s="55"/>
      <c r="K18" s="68">
        <f>F18*G18*H18*I18*(1+J18)</f>
        <v>0</v>
      </c>
    </row>
    <row r="19" spans="1:14" ht="45" x14ac:dyDescent="0.25">
      <c r="A19" s="57" t="s">
        <v>254</v>
      </c>
      <c r="B19" s="58">
        <v>78472</v>
      </c>
      <c r="C19" s="61" t="s">
        <v>40</v>
      </c>
      <c r="D19" s="60" t="s">
        <v>19</v>
      </c>
      <c r="E19" s="65"/>
      <c r="F19" s="53"/>
      <c r="G19" s="53"/>
      <c r="H19" s="57"/>
      <c r="I19" s="57"/>
      <c r="J19" s="69"/>
      <c r="K19" s="68">
        <f>F19*G19*E19</f>
        <v>0</v>
      </c>
    </row>
    <row r="20" spans="1:14" ht="75" x14ac:dyDescent="0.25">
      <c r="A20" s="57" t="s">
        <v>255</v>
      </c>
      <c r="B20" s="58" t="s">
        <v>363</v>
      </c>
      <c r="C20" s="61" t="s">
        <v>467</v>
      </c>
      <c r="D20" s="60" t="s">
        <v>364</v>
      </c>
      <c r="E20" s="51"/>
      <c r="F20" s="57"/>
      <c r="G20" s="57"/>
      <c r="H20" s="57"/>
      <c r="I20" s="57"/>
      <c r="J20" s="69"/>
      <c r="K20" s="68">
        <f>E20</f>
        <v>0</v>
      </c>
    </row>
    <row r="21" spans="1:14" ht="90" customHeight="1" x14ac:dyDescent="0.25">
      <c r="A21" s="384" t="s">
        <v>597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56"/>
      <c r="M21" s="56"/>
      <c r="N21" s="56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6:I6"/>
    <mergeCell ref="B5:I5"/>
    <mergeCell ref="B3:I3"/>
    <mergeCell ref="B4:I4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H9" sqref="H9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75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386" t="s">
        <v>806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ht="18.75" x14ac:dyDescent="0.25">
      <c r="A2" s="389" t="s">
        <v>469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x14ac:dyDescent="0.25">
      <c r="A3" s="22" t="s">
        <v>11</v>
      </c>
      <c r="B3" s="399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1"/>
      <c r="N3" s="392" t="s">
        <v>15</v>
      </c>
      <c r="O3" s="23" t="str">
        <f>'PLANILHA ORÇAMENTÁRIA'!H3</f>
        <v>SINAPI</v>
      </c>
    </row>
    <row r="4" spans="1:15" x14ac:dyDescent="0.25">
      <c r="A4" s="22" t="s">
        <v>12</v>
      </c>
      <c r="B4" s="399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1"/>
      <c r="N4" s="392"/>
      <c r="O4" s="24" t="str">
        <f>'PLANILHA ORÇAMENTÁRIA'!H4</f>
        <v>AP - Janeiro/2018</v>
      </c>
    </row>
    <row r="5" spans="1:15" x14ac:dyDescent="0.25">
      <c r="A5" s="22" t="s">
        <v>13</v>
      </c>
      <c r="B5" s="399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1"/>
      <c r="N5" s="397">
        <f>BDI!I23</f>
        <v>0.31126118815198645</v>
      </c>
      <c r="O5" s="23" t="str">
        <f>'PLANILHA ORÇAMENTÁRIA'!H5</f>
        <v>SICRO</v>
      </c>
    </row>
    <row r="6" spans="1:15" x14ac:dyDescent="0.25">
      <c r="A6" s="22" t="s">
        <v>14</v>
      </c>
      <c r="B6" s="399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1"/>
      <c r="N6" s="397"/>
      <c r="O6" s="24" t="str">
        <f>'PLANILHA ORÇAMENTÁRIA'!H6</f>
        <v>AP - Setembro/2017</v>
      </c>
    </row>
    <row r="7" spans="1:15" ht="45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794</v>
      </c>
      <c r="I7" s="25" t="s">
        <v>797</v>
      </c>
      <c r="J7" s="25" t="s">
        <v>798</v>
      </c>
      <c r="K7" s="25" t="s">
        <v>799</v>
      </c>
      <c r="L7" s="25" t="s">
        <v>793</v>
      </c>
      <c r="M7" s="76" t="s">
        <v>800</v>
      </c>
      <c r="N7" s="25" t="s">
        <v>792</v>
      </c>
      <c r="O7" s="38" t="s">
        <v>462</v>
      </c>
    </row>
    <row r="8" spans="1:15" ht="30" x14ac:dyDescent="0.25">
      <c r="A8" s="57" t="s">
        <v>23</v>
      </c>
      <c r="B8" s="77" t="s">
        <v>87</v>
      </c>
      <c r="C8" s="78" t="s">
        <v>86</v>
      </c>
      <c r="D8" s="79" t="s">
        <v>19</v>
      </c>
      <c r="E8" s="54"/>
      <c r="F8" s="70"/>
      <c r="G8" s="70"/>
      <c r="H8" s="87"/>
      <c r="I8" s="87"/>
      <c r="J8" s="87"/>
      <c r="K8" s="87"/>
      <c r="L8" s="87"/>
      <c r="M8" s="89"/>
      <c r="N8" s="89"/>
      <c r="O8" s="90">
        <f>F8*G8</f>
        <v>0</v>
      </c>
    </row>
    <row r="9" spans="1:15" ht="15.75" x14ac:dyDescent="0.25">
      <c r="A9" s="80" t="s">
        <v>24</v>
      </c>
      <c r="B9" s="81" t="s">
        <v>210</v>
      </c>
      <c r="C9" s="82" t="s">
        <v>209</v>
      </c>
      <c r="D9" s="83" t="s">
        <v>19</v>
      </c>
      <c r="E9" s="86"/>
      <c r="F9" s="88"/>
      <c r="G9" s="88"/>
      <c r="H9" s="86"/>
      <c r="I9" s="86"/>
      <c r="J9" s="71"/>
      <c r="K9" s="71"/>
      <c r="L9" s="86"/>
      <c r="M9" s="91"/>
      <c r="N9" s="91"/>
      <c r="O9" s="92" t="e">
        <f>J9/K9</f>
        <v>#DIV/0!</v>
      </c>
    </row>
    <row r="10" spans="1:15" ht="30" x14ac:dyDescent="0.25">
      <c r="A10" s="80" t="s">
        <v>25</v>
      </c>
      <c r="B10" s="81" t="s">
        <v>212</v>
      </c>
      <c r="C10" s="82" t="s">
        <v>211</v>
      </c>
      <c r="D10" s="83" t="s">
        <v>29</v>
      </c>
      <c r="E10" s="86"/>
      <c r="F10" s="88"/>
      <c r="G10" s="88"/>
      <c r="H10" s="88"/>
      <c r="I10" s="88"/>
      <c r="J10" s="72"/>
      <c r="K10" s="72"/>
      <c r="L10" s="88"/>
      <c r="M10" s="93"/>
      <c r="N10" s="91"/>
      <c r="O10" s="94" t="e">
        <f>(J9/K9)*K10</f>
        <v>#DIV/0!</v>
      </c>
    </row>
    <row r="11" spans="1:15" ht="30" x14ac:dyDescent="0.25">
      <c r="A11" s="57" t="s">
        <v>26</v>
      </c>
      <c r="B11" s="24">
        <v>95290</v>
      </c>
      <c r="C11" s="78" t="s">
        <v>78</v>
      </c>
      <c r="D11" s="79" t="s">
        <v>56</v>
      </c>
      <c r="E11" s="87"/>
      <c r="F11" s="73"/>
      <c r="G11" s="73"/>
      <c r="H11" s="73"/>
      <c r="I11" s="95"/>
      <c r="J11" s="95"/>
      <c r="K11" s="95"/>
      <c r="L11" s="73"/>
      <c r="M11" s="96"/>
      <c r="N11" s="74"/>
      <c r="O11" s="97">
        <f>F11*G11*H11*L11*(1+N11)</f>
        <v>0</v>
      </c>
    </row>
    <row r="12" spans="1:15" ht="45" x14ac:dyDescent="0.25">
      <c r="A12" s="57" t="s">
        <v>27</v>
      </c>
      <c r="B12" s="77" t="s">
        <v>88</v>
      </c>
      <c r="C12" s="78" t="s">
        <v>589</v>
      </c>
      <c r="D12" s="79" t="s">
        <v>29</v>
      </c>
      <c r="E12" s="87"/>
      <c r="F12" s="98"/>
      <c r="G12" s="98"/>
      <c r="H12" s="98"/>
      <c r="I12" s="73"/>
      <c r="J12" s="95"/>
      <c r="K12" s="95"/>
      <c r="L12" s="95"/>
      <c r="M12" s="96"/>
      <c r="N12" s="89"/>
      <c r="O12" s="97">
        <f>I12</f>
        <v>0</v>
      </c>
    </row>
    <row r="13" spans="1:15" ht="45" x14ac:dyDescent="0.25">
      <c r="A13" s="57" t="s">
        <v>28</v>
      </c>
      <c r="B13" s="77" t="s">
        <v>88</v>
      </c>
      <c r="C13" s="78" t="s">
        <v>791</v>
      </c>
      <c r="D13" s="79" t="s">
        <v>29</v>
      </c>
      <c r="E13" s="87"/>
      <c r="F13" s="98"/>
      <c r="G13" s="98"/>
      <c r="H13" s="98"/>
      <c r="I13" s="73"/>
      <c r="J13" s="73"/>
      <c r="K13" s="95"/>
      <c r="L13" s="95"/>
      <c r="M13" s="74"/>
      <c r="N13" s="89"/>
      <c r="O13" s="99">
        <f>(J13-I13)*(1+M13)</f>
        <v>0</v>
      </c>
    </row>
    <row r="14" spans="1:15" ht="30" x14ac:dyDescent="0.25">
      <c r="A14" s="57" t="s">
        <v>52</v>
      </c>
      <c r="B14" s="24" t="s">
        <v>82</v>
      </c>
      <c r="C14" s="84" t="s">
        <v>81</v>
      </c>
      <c r="D14" s="79" t="s">
        <v>29</v>
      </c>
      <c r="E14" s="87"/>
      <c r="F14" s="73"/>
      <c r="G14" s="73"/>
      <c r="H14" s="73"/>
      <c r="I14" s="95"/>
      <c r="J14" s="95"/>
      <c r="K14" s="95"/>
      <c r="L14" s="95"/>
      <c r="M14" s="96"/>
      <c r="N14" s="89"/>
      <c r="O14" s="97">
        <f t="shared" ref="O14" si="0">F14*G14*H14</f>
        <v>0</v>
      </c>
    </row>
    <row r="15" spans="1:15" ht="30" x14ac:dyDescent="0.25">
      <c r="A15" s="57" t="s">
        <v>91</v>
      </c>
      <c r="B15" s="24" t="s">
        <v>54</v>
      </c>
      <c r="C15" s="84" t="s">
        <v>18</v>
      </c>
      <c r="D15" s="79" t="s">
        <v>19</v>
      </c>
      <c r="E15" s="87"/>
      <c r="F15" s="73"/>
      <c r="G15" s="73"/>
      <c r="H15" s="87"/>
      <c r="I15" s="87"/>
      <c r="J15" s="87"/>
      <c r="K15" s="87"/>
      <c r="L15" s="87"/>
      <c r="M15" s="89"/>
      <c r="N15" s="89"/>
      <c r="O15" s="90">
        <f>F15*G15</f>
        <v>0</v>
      </c>
    </row>
    <row r="16" spans="1:15" ht="31.5" customHeight="1" x14ac:dyDescent="0.25">
      <c r="A16" s="57" t="s">
        <v>242</v>
      </c>
      <c r="B16" s="24">
        <v>79472</v>
      </c>
      <c r="C16" s="85" t="s">
        <v>83</v>
      </c>
      <c r="D16" s="79" t="s">
        <v>19</v>
      </c>
      <c r="E16" s="87"/>
      <c r="F16" s="73"/>
      <c r="G16" s="73"/>
      <c r="H16" s="87"/>
      <c r="I16" s="87"/>
      <c r="J16" s="87"/>
      <c r="K16" s="87"/>
      <c r="L16" s="87"/>
      <c r="M16" s="89"/>
      <c r="N16" s="89"/>
      <c r="O16" s="90">
        <f>F16*G16</f>
        <v>0</v>
      </c>
    </row>
    <row r="17" spans="1:15" x14ac:dyDescent="0.25">
      <c r="A17" s="402" t="s">
        <v>590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</row>
    <row r="18" spans="1:15" ht="90" customHeight="1" x14ac:dyDescent="0.25">
      <c r="A18" s="384" t="s">
        <v>597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</row>
  </sheetData>
  <sheetProtection password="F990" sheet="1" objects="1" scenarios="1"/>
  <mergeCells count="10">
    <mergeCell ref="A1:O1"/>
    <mergeCell ref="A2:O2"/>
    <mergeCell ref="N3:N4"/>
    <mergeCell ref="B4:M4"/>
    <mergeCell ref="B3:M3"/>
    <mergeCell ref="A17:O17"/>
    <mergeCell ref="N5:N6"/>
    <mergeCell ref="A18:O18"/>
    <mergeCell ref="B6:M6"/>
    <mergeCell ref="B5:M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  <ignoredErrors>
    <ignoredError sqref="O9:O1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9"/>
  <sheetViews>
    <sheetView view="pageBreakPreview" zoomScaleNormal="90" zoomScaleSheetLayoutView="100" workbookViewId="0">
      <selection activeCell="I9" sqref="H9:I9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8" width="14.28515625" style="2" customWidth="1"/>
    <col min="9" max="9" width="18.140625" style="2" customWidth="1"/>
    <col min="10" max="10" width="21.85546875" style="2" bestFit="1" customWidth="1"/>
    <col min="11" max="16384" width="9.140625" style="2"/>
  </cols>
  <sheetData>
    <row r="1" spans="1:10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18.75" x14ac:dyDescent="0.25">
      <c r="A2" s="389" t="s">
        <v>470</v>
      </c>
      <c r="B2" s="389"/>
      <c r="C2" s="389"/>
      <c r="D2" s="389"/>
      <c r="E2" s="389"/>
      <c r="F2" s="389"/>
      <c r="G2" s="389"/>
      <c r="H2" s="389"/>
      <c r="I2" s="389"/>
      <c r="J2" s="389"/>
    </row>
    <row r="3" spans="1:10" x14ac:dyDescent="0.25">
      <c r="A3" s="22" t="s">
        <v>11</v>
      </c>
      <c r="B3" s="399"/>
      <c r="C3" s="400"/>
      <c r="D3" s="400"/>
      <c r="E3" s="400"/>
      <c r="F3" s="400"/>
      <c r="G3" s="400"/>
      <c r="H3" s="401"/>
      <c r="I3" s="392" t="s">
        <v>15</v>
      </c>
      <c r="J3" s="23" t="str">
        <f>'PLANILHA ORÇAMENTÁRIA'!H3</f>
        <v>SINAPI</v>
      </c>
    </row>
    <row r="4" spans="1:10" x14ac:dyDescent="0.25">
      <c r="A4" s="22" t="s">
        <v>12</v>
      </c>
      <c r="B4" s="399"/>
      <c r="C4" s="400"/>
      <c r="D4" s="400"/>
      <c r="E4" s="400"/>
      <c r="F4" s="400"/>
      <c r="G4" s="400"/>
      <c r="H4" s="401"/>
      <c r="I4" s="392"/>
      <c r="J4" s="24" t="str">
        <f>'PLANILHA ORÇAMENTÁRIA'!H4</f>
        <v>AP - Janeiro/2018</v>
      </c>
    </row>
    <row r="5" spans="1:10" x14ac:dyDescent="0.25">
      <c r="A5" s="22" t="s">
        <v>13</v>
      </c>
      <c r="B5" s="399"/>
      <c r="C5" s="400"/>
      <c r="D5" s="400"/>
      <c r="E5" s="400"/>
      <c r="F5" s="400"/>
      <c r="G5" s="400"/>
      <c r="H5" s="401"/>
      <c r="I5" s="397">
        <f>BDI!I23</f>
        <v>0.31126118815198645</v>
      </c>
      <c r="J5" s="23" t="str">
        <f>'PLANILHA ORÇAMENTÁRIA'!H5</f>
        <v>SICRO</v>
      </c>
    </row>
    <row r="6" spans="1:10" x14ac:dyDescent="0.25">
      <c r="A6" s="22" t="s">
        <v>14</v>
      </c>
      <c r="B6" s="399"/>
      <c r="C6" s="400"/>
      <c r="D6" s="400"/>
      <c r="E6" s="400"/>
      <c r="F6" s="400"/>
      <c r="G6" s="400"/>
      <c r="H6" s="401"/>
      <c r="I6" s="397"/>
      <c r="J6" s="24" t="str">
        <f>'PLANILHA ORÇAMENTÁRIA'!H6</f>
        <v>AP - Setembro/2017</v>
      </c>
    </row>
    <row r="7" spans="1:10" ht="30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794</v>
      </c>
      <c r="I7" s="76" t="s">
        <v>800</v>
      </c>
      <c r="J7" s="25" t="s">
        <v>462</v>
      </c>
    </row>
    <row r="8" spans="1:10" ht="15.75" x14ac:dyDescent="0.25">
      <c r="A8" s="100" t="s">
        <v>31</v>
      </c>
      <c r="B8" s="100">
        <v>72961</v>
      </c>
      <c r="C8" s="101" t="s">
        <v>93</v>
      </c>
      <c r="D8" s="102" t="s">
        <v>19</v>
      </c>
      <c r="E8" s="95"/>
      <c r="F8" s="73"/>
      <c r="G8" s="73"/>
      <c r="H8" s="98"/>
      <c r="I8" s="95"/>
      <c r="J8" s="90">
        <f>F8*G8</f>
        <v>0</v>
      </c>
    </row>
    <row r="9" spans="1:10" ht="45" x14ac:dyDescent="0.25">
      <c r="A9" s="100" t="s">
        <v>32</v>
      </c>
      <c r="B9" s="77" t="s">
        <v>88</v>
      </c>
      <c r="C9" s="78" t="s">
        <v>803</v>
      </c>
      <c r="D9" s="79" t="s">
        <v>29</v>
      </c>
      <c r="E9" s="95"/>
      <c r="F9" s="73"/>
      <c r="G9" s="73"/>
      <c r="H9" s="73"/>
      <c r="I9" s="73"/>
      <c r="J9" s="90">
        <f>F9*G9*H9*(1+I9)</f>
        <v>0</v>
      </c>
    </row>
    <row r="10" spans="1:10" ht="45" x14ac:dyDescent="0.25">
      <c r="A10" s="100" t="s">
        <v>33</v>
      </c>
      <c r="B10" s="103">
        <v>96387</v>
      </c>
      <c r="C10" s="85" t="s">
        <v>557</v>
      </c>
      <c r="D10" s="79" t="s">
        <v>29</v>
      </c>
      <c r="E10" s="95"/>
      <c r="F10" s="73"/>
      <c r="G10" s="73"/>
      <c r="H10" s="73"/>
      <c r="I10" s="98"/>
      <c r="J10" s="90">
        <f>F10*G10*H10</f>
        <v>0</v>
      </c>
    </row>
    <row r="11" spans="1:10" ht="45" x14ac:dyDescent="0.25">
      <c r="A11" s="100" t="s">
        <v>34</v>
      </c>
      <c r="B11" s="103">
        <v>96387</v>
      </c>
      <c r="C11" s="85" t="s">
        <v>558</v>
      </c>
      <c r="D11" s="79" t="s">
        <v>29</v>
      </c>
      <c r="E11" s="95"/>
      <c r="F11" s="73"/>
      <c r="G11" s="73"/>
      <c r="H11" s="73"/>
      <c r="I11" s="98"/>
      <c r="J11" s="90">
        <f>F11*G11*H11</f>
        <v>0</v>
      </c>
    </row>
    <row r="12" spans="1:10" ht="30" x14ac:dyDescent="0.25">
      <c r="A12" s="100" t="s">
        <v>35</v>
      </c>
      <c r="B12" s="103">
        <v>96401</v>
      </c>
      <c r="C12" s="104" t="s">
        <v>94</v>
      </c>
      <c r="D12" s="79" t="s">
        <v>19</v>
      </c>
      <c r="E12" s="95"/>
      <c r="F12" s="73"/>
      <c r="G12" s="73"/>
      <c r="H12" s="98"/>
      <c r="I12" s="95"/>
      <c r="J12" s="90">
        <f>F12*G12</f>
        <v>0</v>
      </c>
    </row>
    <row r="13" spans="1:10" ht="30" x14ac:dyDescent="0.25">
      <c r="A13" s="100" t="s">
        <v>36</v>
      </c>
      <c r="B13" s="100">
        <v>97807</v>
      </c>
      <c r="C13" s="104" t="s">
        <v>453</v>
      </c>
      <c r="D13" s="79" t="s">
        <v>19</v>
      </c>
      <c r="E13" s="95"/>
      <c r="F13" s="73"/>
      <c r="G13" s="73"/>
      <c r="H13" s="98"/>
      <c r="I13" s="95"/>
      <c r="J13" s="90">
        <f t="shared" ref="J13" si="0">F13*G13</f>
        <v>0</v>
      </c>
    </row>
    <row r="14" spans="1:10" ht="27" customHeight="1" x14ac:dyDescent="0.25">
      <c r="A14" s="100" t="s">
        <v>37</v>
      </c>
      <c r="B14" s="105" t="s">
        <v>362</v>
      </c>
      <c r="C14" s="106" t="s">
        <v>208</v>
      </c>
      <c r="D14" s="102" t="s">
        <v>29</v>
      </c>
      <c r="E14" s="73"/>
      <c r="F14" s="73"/>
      <c r="G14" s="73"/>
      <c r="H14" s="73"/>
      <c r="I14" s="98"/>
      <c r="J14" s="90">
        <f>E14*F14*G14*H14</f>
        <v>0</v>
      </c>
    </row>
    <row r="15" spans="1:10" ht="15.75" x14ac:dyDescent="0.25">
      <c r="A15" s="100" t="s">
        <v>256</v>
      </c>
      <c r="B15" s="107" t="s">
        <v>360</v>
      </c>
      <c r="C15" s="108" t="s">
        <v>361</v>
      </c>
      <c r="D15" s="102" t="s">
        <v>19</v>
      </c>
      <c r="E15" s="73"/>
      <c r="F15" s="73"/>
      <c r="G15" s="73"/>
      <c r="H15" s="98"/>
      <c r="I15" s="95"/>
      <c r="J15" s="90">
        <f>E15*F15*G15</f>
        <v>0</v>
      </c>
    </row>
    <row r="16" spans="1:10" ht="15.75" x14ac:dyDescent="0.25">
      <c r="A16" s="100" t="s">
        <v>257</v>
      </c>
      <c r="B16" s="24" t="s">
        <v>58</v>
      </c>
      <c r="C16" s="109" t="s">
        <v>21</v>
      </c>
      <c r="D16" s="79" t="s">
        <v>22</v>
      </c>
      <c r="E16" s="73"/>
      <c r="F16" s="95"/>
      <c r="G16" s="95"/>
      <c r="H16" s="95"/>
      <c r="I16" s="95"/>
      <c r="J16" s="90">
        <f>E16</f>
        <v>0</v>
      </c>
    </row>
    <row r="17" spans="1:12" ht="15.75" x14ac:dyDescent="0.25">
      <c r="A17" s="100" t="s">
        <v>801</v>
      </c>
      <c r="B17" s="24" t="s">
        <v>59</v>
      </c>
      <c r="C17" s="109" t="s">
        <v>95</v>
      </c>
      <c r="D17" s="79" t="s">
        <v>22</v>
      </c>
      <c r="E17" s="73"/>
      <c r="F17" s="95"/>
      <c r="G17" s="95"/>
      <c r="H17" s="95"/>
      <c r="I17" s="95"/>
      <c r="J17" s="90">
        <f>E17</f>
        <v>0</v>
      </c>
    </row>
    <row r="18" spans="1:12" ht="15.75" x14ac:dyDescent="0.25">
      <c r="A18" s="100" t="s">
        <v>802</v>
      </c>
      <c r="B18" s="24" t="s">
        <v>60</v>
      </c>
      <c r="C18" s="109" t="s">
        <v>96</v>
      </c>
      <c r="D18" s="79" t="s">
        <v>22</v>
      </c>
      <c r="E18" s="73"/>
      <c r="F18" s="95"/>
      <c r="G18" s="95"/>
      <c r="H18" s="95"/>
      <c r="I18" s="95"/>
      <c r="J18" s="90">
        <f t="shared" ref="J18" si="1">E18</f>
        <v>0</v>
      </c>
    </row>
    <row r="19" spans="1:12" ht="90" customHeight="1" x14ac:dyDescent="0.25">
      <c r="A19" s="384" t="s">
        <v>597</v>
      </c>
      <c r="B19" s="384"/>
      <c r="C19" s="384"/>
      <c r="D19" s="384"/>
      <c r="E19" s="384"/>
      <c r="F19" s="384"/>
      <c r="G19" s="384"/>
      <c r="H19" s="384"/>
      <c r="I19" s="384"/>
      <c r="J19" s="384"/>
      <c r="K19" s="56"/>
      <c r="L19" s="56"/>
    </row>
  </sheetData>
  <sheetProtection password="F990" sheet="1" objects="1" scenarios="1"/>
  <mergeCells count="9">
    <mergeCell ref="A1:J1"/>
    <mergeCell ref="A2:J2"/>
    <mergeCell ref="I3:I4"/>
    <mergeCell ref="A19:J19"/>
    <mergeCell ref="B6:H6"/>
    <mergeCell ref="B5:H5"/>
    <mergeCell ref="B4:H4"/>
    <mergeCell ref="B3:H3"/>
    <mergeCell ref="I5:I6"/>
  </mergeCells>
  <pageMargins left="0.511811024" right="0.511811024" top="0.78740157499999996" bottom="0.78740157499999996" header="0.31496062000000002" footer="0.31496062000000002"/>
  <pageSetup paperSize="9" scale="42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"/>
  <sheetViews>
    <sheetView view="pageBreakPreview" zoomScale="80" zoomScaleNormal="70" zoomScaleSheetLayoutView="80" workbookViewId="0">
      <selection activeCell="E11" sqref="E1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8" width="17.5703125" style="2" customWidth="1"/>
    <col min="9" max="9" width="17.5703125" style="2" bestFit="1" customWidth="1"/>
    <col min="10" max="10" width="23.28515625" style="2" bestFit="1" customWidth="1"/>
    <col min="11" max="11" width="17.7109375" style="2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386" t="s">
        <v>806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ht="18.75" x14ac:dyDescent="0.25">
      <c r="A2" s="389" t="s">
        <v>471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</row>
    <row r="3" spans="1:12" x14ac:dyDescent="0.25">
      <c r="A3" s="22" t="s">
        <v>11</v>
      </c>
      <c r="B3" s="403"/>
      <c r="C3" s="403"/>
      <c r="D3" s="403"/>
      <c r="E3" s="403"/>
      <c r="F3" s="403"/>
      <c r="G3" s="403"/>
      <c r="H3" s="403"/>
      <c r="I3" s="403"/>
      <c r="J3" s="403"/>
      <c r="K3" s="392" t="s">
        <v>15</v>
      </c>
      <c r="L3" s="23" t="str">
        <f>'PLANILHA ORÇAMENTÁRIA'!H3</f>
        <v>SINAPI</v>
      </c>
    </row>
    <row r="4" spans="1:12" x14ac:dyDescent="0.25">
      <c r="A4" s="22" t="s">
        <v>12</v>
      </c>
      <c r="B4" s="403"/>
      <c r="C4" s="403"/>
      <c r="D4" s="403"/>
      <c r="E4" s="403"/>
      <c r="F4" s="403"/>
      <c r="G4" s="403"/>
      <c r="H4" s="403"/>
      <c r="I4" s="403"/>
      <c r="J4" s="403"/>
      <c r="K4" s="392"/>
      <c r="L4" s="24" t="str">
        <f>'PLANILHA ORÇAMENTÁRIA'!H4</f>
        <v>AP - Janeiro/2018</v>
      </c>
    </row>
    <row r="5" spans="1:12" x14ac:dyDescent="0.25">
      <c r="A5" s="22" t="s">
        <v>13</v>
      </c>
      <c r="B5" s="403"/>
      <c r="C5" s="403"/>
      <c r="D5" s="403"/>
      <c r="E5" s="403"/>
      <c r="F5" s="403"/>
      <c r="G5" s="403"/>
      <c r="H5" s="403"/>
      <c r="I5" s="403"/>
      <c r="J5" s="403"/>
      <c r="K5" s="397">
        <f>BDI!I23</f>
        <v>0.31126118815198645</v>
      </c>
      <c r="L5" s="23" t="str">
        <f>'PLANILHA ORÇAMENTÁRIA'!H5</f>
        <v>SICRO</v>
      </c>
    </row>
    <row r="6" spans="1:12" x14ac:dyDescent="0.25">
      <c r="A6" s="22" t="s">
        <v>14</v>
      </c>
      <c r="B6" s="403"/>
      <c r="C6" s="403"/>
      <c r="D6" s="403"/>
      <c r="E6" s="403"/>
      <c r="F6" s="403"/>
      <c r="G6" s="403"/>
      <c r="H6" s="403"/>
      <c r="I6" s="403"/>
      <c r="J6" s="403"/>
      <c r="K6" s="397"/>
      <c r="L6" s="24" t="str">
        <f>'PLANILHA ORÇAMENTÁRIA'!H6</f>
        <v>AP - Setembro/2017</v>
      </c>
    </row>
    <row r="7" spans="1:12" ht="45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794</v>
      </c>
      <c r="I7" s="25" t="s">
        <v>591</v>
      </c>
      <c r="J7" s="25" t="s">
        <v>792</v>
      </c>
      <c r="K7" s="25" t="s">
        <v>793</v>
      </c>
      <c r="L7" s="25" t="s">
        <v>462</v>
      </c>
    </row>
    <row r="8" spans="1:12" ht="30" x14ac:dyDescent="0.25">
      <c r="A8" s="57" t="s">
        <v>48</v>
      </c>
      <c r="B8" s="103">
        <v>95302</v>
      </c>
      <c r="C8" s="111" t="s">
        <v>98</v>
      </c>
      <c r="D8" s="103" t="s">
        <v>38</v>
      </c>
      <c r="E8" s="103"/>
      <c r="F8" s="53"/>
      <c r="G8" s="53"/>
      <c r="H8" s="53"/>
      <c r="I8" s="57"/>
      <c r="J8" s="53"/>
      <c r="K8" s="53"/>
      <c r="L8" s="90">
        <f>F8*G8*H8*K8*(1+J8)</f>
        <v>0</v>
      </c>
    </row>
    <row r="9" spans="1:12" ht="15.75" x14ac:dyDescent="0.25">
      <c r="A9" s="57" t="s">
        <v>61</v>
      </c>
      <c r="B9" s="112">
        <v>95290</v>
      </c>
      <c r="C9" s="78" t="s">
        <v>78</v>
      </c>
      <c r="D9" s="79" t="s">
        <v>56</v>
      </c>
      <c r="E9" s="103"/>
      <c r="F9" s="53"/>
      <c r="G9" s="53"/>
      <c r="H9" s="53"/>
      <c r="I9" s="57"/>
      <c r="J9" s="53"/>
      <c r="K9" s="53"/>
      <c r="L9" s="90">
        <f t="shared" ref="L9:L13" si="0">F9*G9*H9*K9*(1+J9)</f>
        <v>0</v>
      </c>
    </row>
    <row r="10" spans="1:12" ht="45" x14ac:dyDescent="0.25">
      <c r="A10" s="57" t="s">
        <v>62</v>
      </c>
      <c r="B10" s="113">
        <v>95875</v>
      </c>
      <c r="C10" s="111" t="s">
        <v>472</v>
      </c>
      <c r="D10" s="103" t="s">
        <v>38</v>
      </c>
      <c r="E10" s="103"/>
      <c r="F10" s="53"/>
      <c r="G10" s="53"/>
      <c r="H10" s="53"/>
      <c r="I10" s="57"/>
      <c r="J10" s="53"/>
      <c r="K10" s="53"/>
      <c r="L10" s="90">
        <f t="shared" si="0"/>
        <v>0</v>
      </c>
    </row>
    <row r="11" spans="1:12" ht="30" x14ac:dyDescent="0.25">
      <c r="A11" s="57" t="s">
        <v>99</v>
      </c>
      <c r="B11" s="113">
        <v>93590</v>
      </c>
      <c r="C11" s="111" t="s">
        <v>357</v>
      </c>
      <c r="D11" s="103" t="s">
        <v>38</v>
      </c>
      <c r="E11" s="103"/>
      <c r="F11" s="53"/>
      <c r="G11" s="53"/>
      <c r="H11" s="53"/>
      <c r="I11" s="57"/>
      <c r="J11" s="53"/>
      <c r="K11" s="53"/>
      <c r="L11" s="90">
        <f t="shared" si="0"/>
        <v>0</v>
      </c>
    </row>
    <row r="12" spans="1:12" ht="30" x14ac:dyDescent="0.25">
      <c r="A12" s="57" t="s">
        <v>100</v>
      </c>
      <c r="B12" s="105">
        <v>93591</v>
      </c>
      <c r="C12" s="108" t="s">
        <v>573</v>
      </c>
      <c r="D12" s="105" t="s">
        <v>38</v>
      </c>
      <c r="E12" s="103"/>
      <c r="F12" s="53"/>
      <c r="G12" s="53"/>
      <c r="H12" s="53"/>
      <c r="I12" s="57"/>
      <c r="J12" s="53"/>
      <c r="K12" s="53"/>
      <c r="L12" s="90">
        <f t="shared" si="0"/>
        <v>0</v>
      </c>
    </row>
    <row r="13" spans="1:12" ht="30" x14ac:dyDescent="0.25">
      <c r="A13" s="57" t="s">
        <v>358</v>
      </c>
      <c r="B13" s="105">
        <v>93593</v>
      </c>
      <c r="C13" s="108" t="s">
        <v>574</v>
      </c>
      <c r="D13" s="105" t="s">
        <v>38</v>
      </c>
      <c r="E13" s="103"/>
      <c r="F13" s="53"/>
      <c r="G13" s="53"/>
      <c r="H13" s="53"/>
      <c r="I13" s="57"/>
      <c r="J13" s="53"/>
      <c r="K13" s="53"/>
      <c r="L13" s="90">
        <f t="shared" si="0"/>
        <v>0</v>
      </c>
    </row>
    <row r="14" spans="1:12" ht="45" customHeight="1" x14ac:dyDescent="0.25">
      <c r="A14" s="57" t="s">
        <v>359</v>
      </c>
      <c r="B14" s="57">
        <v>93176</v>
      </c>
      <c r="C14" s="114" t="s">
        <v>584</v>
      </c>
      <c r="D14" s="57" t="s">
        <v>39</v>
      </c>
      <c r="E14" s="57"/>
      <c r="F14" s="53"/>
      <c r="G14" s="53"/>
      <c r="H14" s="57"/>
      <c r="I14" s="57">
        <f>3.1*1000</f>
        <v>3100</v>
      </c>
      <c r="J14" s="57"/>
      <c r="K14" s="53"/>
      <c r="L14" s="90">
        <f t="shared" ref="L14:L21" si="1">F14*G14*I14*K14</f>
        <v>0</v>
      </c>
    </row>
    <row r="15" spans="1:12" ht="46.5" customHeight="1" x14ac:dyDescent="0.25">
      <c r="A15" s="57" t="s">
        <v>473</v>
      </c>
      <c r="B15" s="57">
        <v>93176</v>
      </c>
      <c r="C15" s="114" t="s">
        <v>594</v>
      </c>
      <c r="D15" s="57" t="s">
        <v>39</v>
      </c>
      <c r="E15" s="57"/>
      <c r="F15" s="53"/>
      <c r="G15" s="53"/>
      <c r="H15" s="57"/>
      <c r="I15" s="57">
        <f>1.2*1000</f>
        <v>1200</v>
      </c>
      <c r="J15" s="57"/>
      <c r="K15" s="53"/>
      <c r="L15" s="90">
        <f t="shared" si="1"/>
        <v>0</v>
      </c>
    </row>
    <row r="16" spans="1:12" ht="45" customHeight="1" x14ac:dyDescent="0.25">
      <c r="A16" s="57" t="s">
        <v>474</v>
      </c>
      <c r="B16" s="57">
        <v>93177</v>
      </c>
      <c r="C16" s="114" t="s">
        <v>585</v>
      </c>
      <c r="D16" s="57" t="s">
        <v>39</v>
      </c>
      <c r="E16" s="57"/>
      <c r="F16" s="53"/>
      <c r="G16" s="53"/>
      <c r="H16" s="57"/>
      <c r="I16" s="57">
        <f>3.1*1000</f>
        <v>3100</v>
      </c>
      <c r="J16" s="57"/>
      <c r="K16" s="53"/>
      <c r="L16" s="90">
        <f t="shared" si="1"/>
        <v>0</v>
      </c>
    </row>
    <row r="17" spans="1:12" ht="50.25" customHeight="1" x14ac:dyDescent="0.25">
      <c r="A17" s="57" t="s">
        <v>475</v>
      </c>
      <c r="B17" s="57">
        <v>93177</v>
      </c>
      <c r="C17" s="114" t="s">
        <v>593</v>
      </c>
      <c r="D17" s="57" t="s">
        <v>39</v>
      </c>
      <c r="E17" s="57"/>
      <c r="F17" s="53"/>
      <c r="G17" s="53"/>
      <c r="H17" s="57"/>
      <c r="I17" s="57">
        <f>1.2*1000</f>
        <v>1200</v>
      </c>
      <c r="J17" s="57"/>
      <c r="K17" s="53"/>
      <c r="L17" s="90">
        <f t="shared" si="1"/>
        <v>0</v>
      </c>
    </row>
    <row r="18" spans="1:12" ht="45" customHeight="1" x14ac:dyDescent="0.25">
      <c r="A18" s="57" t="s">
        <v>476</v>
      </c>
      <c r="B18" s="57">
        <v>93178</v>
      </c>
      <c r="C18" s="114" t="s">
        <v>586</v>
      </c>
      <c r="D18" s="57" t="s">
        <v>39</v>
      </c>
      <c r="E18" s="57"/>
      <c r="F18" s="53"/>
      <c r="G18" s="53"/>
      <c r="H18" s="57"/>
      <c r="I18" s="57">
        <f>3.1*1000</f>
        <v>3100</v>
      </c>
      <c r="J18" s="57"/>
      <c r="K18" s="53"/>
      <c r="L18" s="90">
        <f t="shared" si="1"/>
        <v>0</v>
      </c>
    </row>
    <row r="19" spans="1:12" ht="51.75" customHeight="1" x14ac:dyDescent="0.25">
      <c r="A19" s="57" t="s">
        <v>477</v>
      </c>
      <c r="B19" s="57">
        <v>93178</v>
      </c>
      <c r="C19" s="114" t="s">
        <v>592</v>
      </c>
      <c r="D19" s="57" t="s">
        <v>39</v>
      </c>
      <c r="E19" s="57"/>
      <c r="F19" s="53"/>
      <c r="G19" s="53"/>
      <c r="H19" s="57"/>
      <c r="I19" s="57">
        <f>1.2*1000</f>
        <v>1200</v>
      </c>
      <c r="J19" s="57"/>
      <c r="K19" s="53"/>
      <c r="L19" s="90">
        <f t="shared" si="1"/>
        <v>0</v>
      </c>
    </row>
    <row r="20" spans="1:12" ht="45" customHeight="1" x14ac:dyDescent="0.25">
      <c r="A20" s="57" t="s">
        <v>478</v>
      </c>
      <c r="B20" s="57">
        <v>93179</v>
      </c>
      <c r="C20" s="114" t="s">
        <v>587</v>
      </c>
      <c r="D20" s="57" t="s">
        <v>39</v>
      </c>
      <c r="E20" s="57"/>
      <c r="F20" s="53"/>
      <c r="G20" s="53"/>
      <c r="H20" s="57"/>
      <c r="I20" s="57">
        <f>3.1*1000</f>
        <v>3100</v>
      </c>
      <c r="J20" s="57"/>
      <c r="K20" s="53"/>
      <c r="L20" s="90">
        <f t="shared" si="1"/>
        <v>0</v>
      </c>
    </row>
    <row r="21" spans="1:12" ht="48.75" customHeight="1" x14ac:dyDescent="0.25">
      <c r="A21" s="57" t="s">
        <v>577</v>
      </c>
      <c r="B21" s="103">
        <v>93179</v>
      </c>
      <c r="C21" s="111" t="s">
        <v>583</v>
      </c>
      <c r="D21" s="103" t="s">
        <v>39</v>
      </c>
      <c r="E21" s="103"/>
      <c r="F21" s="53"/>
      <c r="G21" s="53"/>
      <c r="H21" s="103"/>
      <c r="I21" s="57">
        <f>1.2*1000</f>
        <v>1200</v>
      </c>
      <c r="J21" s="103"/>
      <c r="K21" s="53"/>
      <c r="L21" s="90">
        <f t="shared" si="1"/>
        <v>0</v>
      </c>
    </row>
    <row r="22" spans="1:12" x14ac:dyDescent="0.25">
      <c r="A22" s="402" t="s">
        <v>595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</row>
    <row r="23" spans="1:12" ht="90" customHeight="1" x14ac:dyDescent="0.25">
      <c r="A23" s="384" t="s">
        <v>597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</row>
    <row r="24" spans="1:12" ht="15" customHeight="1" x14ac:dyDescent="0.25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</row>
  </sheetData>
  <sheetProtection password="F990" sheet="1" objects="1" scenarios="1"/>
  <mergeCells count="10">
    <mergeCell ref="A1:L1"/>
    <mergeCell ref="A2:L2"/>
    <mergeCell ref="K3:K4"/>
    <mergeCell ref="B4:J4"/>
    <mergeCell ref="B3:J3"/>
    <mergeCell ref="A22:L22"/>
    <mergeCell ref="K5:K6"/>
    <mergeCell ref="A23:L23"/>
    <mergeCell ref="B6:J6"/>
    <mergeCell ref="B5:J5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6"/>
  <sheetViews>
    <sheetView view="pageBreakPreview" topLeftCell="A18" zoomScale="90" zoomScaleNormal="100" zoomScaleSheetLayoutView="90" workbookViewId="0">
      <selection activeCell="A25" activeCellId="8" sqref="A2:H2 A3:A6 G3:H6 A7:H7 A8:D23 A24:D24 F9:H24 H8 A25:H25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</row>
    <row r="2" spans="1:8" ht="18.75" x14ac:dyDescent="0.25">
      <c r="A2" s="389" t="s">
        <v>479</v>
      </c>
      <c r="B2" s="389"/>
      <c r="C2" s="389"/>
      <c r="D2" s="389"/>
      <c r="E2" s="389"/>
      <c r="F2" s="389"/>
      <c r="G2" s="389"/>
      <c r="H2" s="389"/>
    </row>
    <row r="3" spans="1:8" x14ac:dyDescent="0.25">
      <c r="A3" s="22" t="s">
        <v>11</v>
      </c>
      <c r="B3" s="403"/>
      <c r="C3" s="403"/>
      <c r="D3" s="403"/>
      <c r="E3" s="403"/>
      <c r="F3" s="403"/>
      <c r="G3" s="392" t="s">
        <v>15</v>
      </c>
      <c r="H3" s="23" t="str">
        <f>'PLANILHA ORÇAMENTÁRIA'!H3</f>
        <v>SINAPI</v>
      </c>
    </row>
    <row r="4" spans="1:8" x14ac:dyDescent="0.25">
      <c r="A4" s="22" t="s">
        <v>12</v>
      </c>
      <c r="B4" s="403"/>
      <c r="C4" s="403"/>
      <c r="D4" s="403"/>
      <c r="E4" s="403"/>
      <c r="F4" s="403"/>
      <c r="G4" s="392"/>
      <c r="H4" s="24" t="str">
        <f>'PLANILHA ORÇAMENTÁRIA'!H4</f>
        <v>AP - Janeiro/2018</v>
      </c>
    </row>
    <row r="5" spans="1:8" x14ac:dyDescent="0.25">
      <c r="A5" s="22" t="s">
        <v>13</v>
      </c>
      <c r="B5" s="403"/>
      <c r="C5" s="403"/>
      <c r="D5" s="403"/>
      <c r="E5" s="403"/>
      <c r="F5" s="403"/>
      <c r="G5" s="397">
        <f>BDI!I23</f>
        <v>0.31126118815198645</v>
      </c>
      <c r="H5" s="23" t="str">
        <f>'PLANILHA ORÇAMENTÁRIA'!H5</f>
        <v>SICRO</v>
      </c>
    </row>
    <row r="6" spans="1:8" x14ac:dyDescent="0.25">
      <c r="A6" s="22" t="s">
        <v>14</v>
      </c>
      <c r="B6" s="403"/>
      <c r="C6" s="403"/>
      <c r="D6" s="403"/>
      <c r="E6" s="403"/>
      <c r="F6" s="403"/>
      <c r="G6" s="397"/>
      <c r="H6" s="24" t="str">
        <f>'PLANILHA ORÇAMENTÁRIA'!H6</f>
        <v>AP - Setembro/2017</v>
      </c>
    </row>
    <row r="7" spans="1:8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796</v>
      </c>
      <c r="F7" s="25" t="s">
        <v>795</v>
      </c>
      <c r="G7" s="25" t="s">
        <v>794</v>
      </c>
      <c r="H7" s="25" t="s">
        <v>462</v>
      </c>
    </row>
    <row r="8" spans="1:8" ht="15.75" x14ac:dyDescent="0.25">
      <c r="A8" s="113" t="s">
        <v>46</v>
      </c>
      <c r="B8" s="103">
        <v>93358</v>
      </c>
      <c r="C8" s="104" t="s">
        <v>116</v>
      </c>
      <c r="D8" s="79" t="s">
        <v>29</v>
      </c>
      <c r="E8" s="73"/>
      <c r="F8" s="73"/>
      <c r="G8" s="73"/>
      <c r="H8" s="90">
        <f>E8*F8*G8</f>
        <v>0</v>
      </c>
    </row>
    <row r="9" spans="1:8" ht="60" x14ac:dyDescent="0.25">
      <c r="A9" s="113" t="s">
        <v>47</v>
      </c>
      <c r="B9" s="103">
        <v>94267</v>
      </c>
      <c r="C9" s="115" t="s">
        <v>101</v>
      </c>
      <c r="D9" s="79" t="s">
        <v>41</v>
      </c>
      <c r="E9" s="73"/>
      <c r="F9" s="95"/>
      <c r="G9" s="95"/>
      <c r="H9" s="90">
        <f>E9</f>
        <v>0</v>
      </c>
    </row>
    <row r="10" spans="1:8" ht="60" x14ac:dyDescent="0.25">
      <c r="A10" s="113" t="s">
        <v>65</v>
      </c>
      <c r="B10" s="103">
        <v>94268</v>
      </c>
      <c r="C10" s="115" t="s">
        <v>102</v>
      </c>
      <c r="D10" s="79" t="s">
        <v>41</v>
      </c>
      <c r="E10" s="73"/>
      <c r="F10" s="95"/>
      <c r="G10" s="95"/>
      <c r="H10" s="90">
        <f t="shared" ref="H10:H24" si="0">E10</f>
        <v>0</v>
      </c>
    </row>
    <row r="11" spans="1:8" ht="60" x14ac:dyDescent="0.25">
      <c r="A11" s="113" t="s">
        <v>120</v>
      </c>
      <c r="B11" s="103">
        <v>94269</v>
      </c>
      <c r="C11" s="115" t="s">
        <v>101</v>
      </c>
      <c r="D11" s="79" t="s">
        <v>41</v>
      </c>
      <c r="E11" s="73"/>
      <c r="F11" s="95"/>
      <c r="G11" s="95"/>
      <c r="H11" s="90">
        <f t="shared" si="0"/>
        <v>0</v>
      </c>
    </row>
    <row r="12" spans="1:8" ht="60" x14ac:dyDescent="0.25">
      <c r="A12" s="113" t="s">
        <v>121</v>
      </c>
      <c r="B12" s="103">
        <v>94270</v>
      </c>
      <c r="C12" s="115" t="s">
        <v>103</v>
      </c>
      <c r="D12" s="79" t="s">
        <v>41</v>
      </c>
      <c r="E12" s="73"/>
      <c r="F12" s="95"/>
      <c r="G12" s="95"/>
      <c r="H12" s="90">
        <f t="shared" si="0"/>
        <v>0</v>
      </c>
    </row>
    <row r="13" spans="1:8" ht="60" x14ac:dyDescent="0.25">
      <c r="A13" s="113" t="s">
        <v>122</v>
      </c>
      <c r="B13" s="103">
        <v>94271</v>
      </c>
      <c r="C13" s="115" t="s">
        <v>104</v>
      </c>
      <c r="D13" s="79" t="s">
        <v>41</v>
      </c>
      <c r="E13" s="73"/>
      <c r="F13" s="95"/>
      <c r="G13" s="95"/>
      <c r="H13" s="90">
        <f t="shared" si="0"/>
        <v>0</v>
      </c>
    </row>
    <row r="14" spans="1:8" ht="60" x14ac:dyDescent="0.25">
      <c r="A14" s="113" t="s">
        <v>123</v>
      </c>
      <c r="B14" s="103">
        <v>94272</v>
      </c>
      <c r="C14" s="115" t="s">
        <v>105</v>
      </c>
      <c r="D14" s="79" t="s">
        <v>41</v>
      </c>
      <c r="E14" s="73"/>
      <c r="F14" s="95"/>
      <c r="G14" s="95"/>
      <c r="H14" s="90">
        <f t="shared" si="0"/>
        <v>0</v>
      </c>
    </row>
    <row r="15" spans="1:8" ht="60" x14ac:dyDescent="0.25">
      <c r="A15" s="113" t="s">
        <v>124</v>
      </c>
      <c r="B15" s="103">
        <v>94273</v>
      </c>
      <c r="C15" s="115" t="s">
        <v>106</v>
      </c>
      <c r="D15" s="79" t="s">
        <v>41</v>
      </c>
      <c r="E15" s="73"/>
      <c r="F15" s="95"/>
      <c r="G15" s="95"/>
      <c r="H15" s="90">
        <f t="shared" si="0"/>
        <v>0</v>
      </c>
    </row>
    <row r="16" spans="1:8" ht="60" x14ac:dyDescent="0.25">
      <c r="A16" s="113" t="s">
        <v>258</v>
      </c>
      <c r="B16" s="103">
        <v>94274</v>
      </c>
      <c r="C16" s="115" t="s">
        <v>107</v>
      </c>
      <c r="D16" s="79" t="s">
        <v>41</v>
      </c>
      <c r="E16" s="73"/>
      <c r="F16" s="95"/>
      <c r="G16" s="95"/>
      <c r="H16" s="90">
        <f t="shared" si="0"/>
        <v>0</v>
      </c>
    </row>
    <row r="17" spans="1:12" ht="30" x14ac:dyDescent="0.25">
      <c r="A17" s="113" t="s">
        <v>259</v>
      </c>
      <c r="B17" s="103">
        <v>94281</v>
      </c>
      <c r="C17" s="115" t="s">
        <v>108</v>
      </c>
      <c r="D17" s="79" t="s">
        <v>41</v>
      </c>
      <c r="E17" s="73"/>
      <c r="F17" s="95"/>
      <c r="G17" s="95"/>
      <c r="H17" s="90">
        <f t="shared" si="0"/>
        <v>0</v>
      </c>
    </row>
    <row r="18" spans="1:12" ht="30" x14ac:dyDescent="0.25">
      <c r="A18" s="113" t="s">
        <v>260</v>
      </c>
      <c r="B18" s="103">
        <v>94282</v>
      </c>
      <c r="C18" s="115" t="s">
        <v>109</v>
      </c>
      <c r="D18" s="79" t="s">
        <v>41</v>
      </c>
      <c r="E18" s="73"/>
      <c r="F18" s="95"/>
      <c r="G18" s="95"/>
      <c r="H18" s="90">
        <f t="shared" si="0"/>
        <v>0</v>
      </c>
    </row>
    <row r="19" spans="1:12" ht="30" x14ac:dyDescent="0.25">
      <c r="A19" s="113" t="s">
        <v>261</v>
      </c>
      <c r="B19" s="103">
        <v>94283</v>
      </c>
      <c r="C19" s="115" t="s">
        <v>110</v>
      </c>
      <c r="D19" s="79" t="s">
        <v>41</v>
      </c>
      <c r="E19" s="73"/>
      <c r="F19" s="95"/>
      <c r="G19" s="95"/>
      <c r="H19" s="90">
        <f t="shared" si="0"/>
        <v>0</v>
      </c>
    </row>
    <row r="20" spans="1:12" ht="30" x14ac:dyDescent="0.25">
      <c r="A20" s="113" t="s">
        <v>262</v>
      </c>
      <c r="B20" s="103">
        <v>94284</v>
      </c>
      <c r="C20" s="115" t="s">
        <v>111</v>
      </c>
      <c r="D20" s="79" t="s">
        <v>41</v>
      </c>
      <c r="E20" s="73"/>
      <c r="F20" s="95"/>
      <c r="G20" s="95"/>
      <c r="H20" s="90">
        <f t="shared" si="0"/>
        <v>0</v>
      </c>
    </row>
    <row r="21" spans="1:12" ht="30" x14ac:dyDescent="0.25">
      <c r="A21" s="113" t="s">
        <v>125</v>
      </c>
      <c r="B21" s="103">
        <v>94287</v>
      </c>
      <c r="C21" s="115" t="s">
        <v>112</v>
      </c>
      <c r="D21" s="79" t="s">
        <v>41</v>
      </c>
      <c r="E21" s="73"/>
      <c r="F21" s="95"/>
      <c r="G21" s="95"/>
      <c r="H21" s="90">
        <f t="shared" si="0"/>
        <v>0</v>
      </c>
    </row>
    <row r="22" spans="1:12" ht="30" x14ac:dyDescent="0.25">
      <c r="A22" s="113" t="s">
        <v>142</v>
      </c>
      <c r="B22" s="103">
        <v>94288</v>
      </c>
      <c r="C22" s="115" t="s">
        <v>113</v>
      </c>
      <c r="D22" s="79" t="s">
        <v>41</v>
      </c>
      <c r="E22" s="73"/>
      <c r="F22" s="95"/>
      <c r="G22" s="95"/>
      <c r="H22" s="90">
        <f t="shared" si="0"/>
        <v>0</v>
      </c>
    </row>
    <row r="23" spans="1:12" ht="30" x14ac:dyDescent="0.25">
      <c r="A23" s="113" t="s">
        <v>143</v>
      </c>
      <c r="B23" s="103">
        <v>94289</v>
      </c>
      <c r="C23" s="115" t="s">
        <v>114</v>
      </c>
      <c r="D23" s="79" t="s">
        <v>41</v>
      </c>
      <c r="E23" s="73"/>
      <c r="F23" s="95"/>
      <c r="G23" s="95"/>
      <c r="H23" s="90">
        <f t="shared" si="0"/>
        <v>0</v>
      </c>
    </row>
    <row r="24" spans="1:12" ht="30" x14ac:dyDescent="0.25">
      <c r="A24" s="113" t="s">
        <v>144</v>
      </c>
      <c r="B24" s="103">
        <v>94290</v>
      </c>
      <c r="C24" s="115" t="s">
        <v>115</v>
      </c>
      <c r="D24" s="79" t="s">
        <v>41</v>
      </c>
      <c r="E24" s="73"/>
      <c r="F24" s="95"/>
      <c r="G24" s="95"/>
      <c r="H24" s="90">
        <f t="shared" si="0"/>
        <v>0</v>
      </c>
    </row>
    <row r="25" spans="1:12" ht="90" customHeight="1" x14ac:dyDescent="0.25">
      <c r="A25" s="384" t="s">
        <v>596</v>
      </c>
      <c r="B25" s="384"/>
      <c r="C25" s="384"/>
      <c r="D25" s="384"/>
      <c r="E25" s="384"/>
      <c r="F25" s="384"/>
      <c r="G25" s="384"/>
      <c r="H25" s="384"/>
      <c r="I25" s="110"/>
      <c r="J25" s="110"/>
      <c r="K25" s="110"/>
      <c r="L25" s="110"/>
    </row>
    <row r="26" spans="1:12" ht="15" customHeight="1" x14ac:dyDescent="0.2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3"/>
  <sheetViews>
    <sheetView view="pageBreakPreview" topLeftCell="A84" zoomScale="85" zoomScaleNormal="100" zoomScaleSheetLayoutView="85" workbookViewId="0">
      <selection activeCell="F91" sqref="F91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118" bestFit="1" customWidth="1"/>
    <col min="10" max="16384" width="9.140625" style="2"/>
  </cols>
  <sheetData>
    <row r="1" spans="1:9" ht="90" customHeight="1" x14ac:dyDescent="0.25">
      <c r="A1" s="386" t="s">
        <v>806</v>
      </c>
      <c r="B1" s="386"/>
      <c r="C1" s="386"/>
      <c r="D1" s="386"/>
      <c r="E1" s="386"/>
      <c r="F1" s="386"/>
      <c r="G1" s="386"/>
      <c r="H1" s="386"/>
      <c r="I1" s="386"/>
    </row>
    <row r="2" spans="1:9" ht="18.75" x14ac:dyDescent="0.25">
      <c r="A2" s="389" t="s">
        <v>481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22" t="s">
        <v>11</v>
      </c>
      <c r="B3" s="403"/>
      <c r="C3" s="403"/>
      <c r="D3" s="403"/>
      <c r="E3" s="403"/>
      <c r="F3" s="403"/>
      <c r="G3" s="403"/>
      <c r="H3" s="392" t="s">
        <v>15</v>
      </c>
      <c r="I3" s="65" t="str">
        <f>'PLANILHA ORÇAMENTÁRIA'!H3</f>
        <v>SINAPI</v>
      </c>
    </row>
    <row r="4" spans="1:9" x14ac:dyDescent="0.25">
      <c r="A4" s="22" t="s">
        <v>12</v>
      </c>
      <c r="B4" s="403"/>
      <c r="C4" s="403"/>
      <c r="D4" s="403"/>
      <c r="E4" s="403"/>
      <c r="F4" s="403"/>
      <c r="G4" s="403"/>
      <c r="H4" s="392"/>
      <c r="I4" s="113" t="str">
        <f>'PLANILHA ORÇAMENTÁRIA'!H4</f>
        <v>AP - Janeiro/2018</v>
      </c>
    </row>
    <row r="5" spans="1:9" x14ac:dyDescent="0.25">
      <c r="A5" s="22" t="s">
        <v>13</v>
      </c>
      <c r="B5" s="403"/>
      <c r="C5" s="403"/>
      <c r="D5" s="403"/>
      <c r="E5" s="403"/>
      <c r="F5" s="403"/>
      <c r="G5" s="403"/>
      <c r="H5" s="397">
        <f>BDI!I23</f>
        <v>0.31126118815198645</v>
      </c>
      <c r="I5" s="65" t="str">
        <f>'PLANILHA ORÇAMENTÁRIA'!H5</f>
        <v>SICRO</v>
      </c>
    </row>
    <row r="6" spans="1:9" x14ac:dyDescent="0.25">
      <c r="A6" s="22" t="s">
        <v>14</v>
      </c>
      <c r="B6" s="403"/>
      <c r="C6" s="403"/>
      <c r="D6" s="403"/>
      <c r="E6" s="403"/>
      <c r="F6" s="403"/>
      <c r="G6" s="403"/>
      <c r="H6" s="397"/>
      <c r="I6" s="113" t="str">
        <f>'PLANILHA ORÇAMENTÁRIA'!H6</f>
        <v>AP - Setembro/2017</v>
      </c>
    </row>
    <row r="7" spans="1:9" x14ac:dyDescent="0.25">
      <c r="A7" s="25" t="s">
        <v>365</v>
      </c>
      <c r="B7" s="25" t="s">
        <v>1</v>
      </c>
      <c r="C7" s="25" t="s">
        <v>461</v>
      </c>
      <c r="D7" s="25" t="s">
        <v>237</v>
      </c>
      <c r="E7" s="25" t="s">
        <v>3</v>
      </c>
      <c r="F7" s="25" t="s">
        <v>796</v>
      </c>
      <c r="G7" s="25" t="s">
        <v>795</v>
      </c>
      <c r="H7" s="25" t="s">
        <v>804</v>
      </c>
      <c r="I7" s="25" t="s">
        <v>462</v>
      </c>
    </row>
    <row r="8" spans="1:9" x14ac:dyDescent="0.25">
      <c r="A8" s="119" t="s">
        <v>44</v>
      </c>
      <c r="B8" s="404" t="s">
        <v>173</v>
      </c>
      <c r="C8" s="404"/>
      <c r="D8" s="404"/>
      <c r="E8" s="404"/>
      <c r="F8" s="404"/>
      <c r="G8" s="404"/>
      <c r="H8" s="404"/>
      <c r="I8" s="404"/>
    </row>
    <row r="9" spans="1:9" ht="75" x14ac:dyDescent="0.25">
      <c r="A9" s="80" t="s">
        <v>263</v>
      </c>
      <c r="B9" s="80">
        <v>90099</v>
      </c>
      <c r="C9" s="42" t="s">
        <v>482</v>
      </c>
      <c r="D9" s="79" t="s">
        <v>29</v>
      </c>
      <c r="E9" s="79"/>
      <c r="F9" s="73"/>
      <c r="G9" s="73"/>
      <c r="H9" s="73"/>
      <c r="I9" s="99">
        <f>F9*G9*H9</f>
        <v>0</v>
      </c>
    </row>
    <row r="10" spans="1:9" ht="75" x14ac:dyDescent="0.25">
      <c r="A10" s="80" t="s">
        <v>264</v>
      </c>
      <c r="B10" s="80">
        <v>90100</v>
      </c>
      <c r="C10" s="44" t="s">
        <v>135</v>
      </c>
      <c r="D10" s="79" t="s">
        <v>29</v>
      </c>
      <c r="E10" s="79"/>
      <c r="F10" s="73"/>
      <c r="G10" s="73"/>
      <c r="H10" s="73"/>
      <c r="I10" s="99">
        <f t="shared" ref="I10:I16" si="0">F10*G10*H10</f>
        <v>0</v>
      </c>
    </row>
    <row r="11" spans="1:9" ht="90" x14ac:dyDescent="0.25">
      <c r="A11" s="80" t="s">
        <v>265</v>
      </c>
      <c r="B11" s="80">
        <v>90101</v>
      </c>
      <c r="C11" s="44" t="s">
        <v>136</v>
      </c>
      <c r="D11" s="79" t="s">
        <v>29</v>
      </c>
      <c r="E11" s="79"/>
      <c r="F11" s="73"/>
      <c r="G11" s="73"/>
      <c r="H11" s="73"/>
      <c r="I11" s="99">
        <f t="shared" si="0"/>
        <v>0</v>
      </c>
    </row>
    <row r="12" spans="1:9" ht="90" x14ac:dyDescent="0.25">
      <c r="A12" s="80" t="s">
        <v>266</v>
      </c>
      <c r="B12" s="80">
        <v>90102</v>
      </c>
      <c r="C12" s="120" t="s">
        <v>137</v>
      </c>
      <c r="D12" s="79" t="s">
        <v>29</v>
      </c>
      <c r="E12" s="79"/>
      <c r="F12" s="73"/>
      <c r="G12" s="73"/>
      <c r="H12" s="73"/>
      <c r="I12" s="99">
        <f t="shared" si="0"/>
        <v>0</v>
      </c>
    </row>
    <row r="13" spans="1:9" ht="105" x14ac:dyDescent="0.25">
      <c r="A13" s="80" t="s">
        <v>267</v>
      </c>
      <c r="B13" s="80">
        <v>90105</v>
      </c>
      <c r="C13" s="120" t="s">
        <v>138</v>
      </c>
      <c r="D13" s="79" t="s">
        <v>29</v>
      </c>
      <c r="E13" s="79"/>
      <c r="F13" s="73"/>
      <c r="G13" s="73"/>
      <c r="H13" s="73"/>
      <c r="I13" s="99">
        <f t="shared" si="0"/>
        <v>0</v>
      </c>
    </row>
    <row r="14" spans="1:9" ht="75" x14ac:dyDescent="0.25">
      <c r="A14" s="80" t="s">
        <v>268</v>
      </c>
      <c r="B14" s="80">
        <v>90106</v>
      </c>
      <c r="C14" s="44" t="s">
        <v>139</v>
      </c>
      <c r="D14" s="79" t="s">
        <v>29</v>
      </c>
      <c r="E14" s="79"/>
      <c r="F14" s="73"/>
      <c r="G14" s="73"/>
      <c r="H14" s="73"/>
      <c r="I14" s="99">
        <f t="shared" si="0"/>
        <v>0</v>
      </c>
    </row>
    <row r="15" spans="1:9" ht="90" x14ac:dyDescent="0.25">
      <c r="A15" s="80" t="s">
        <v>269</v>
      </c>
      <c r="B15" s="80">
        <v>90107</v>
      </c>
      <c r="C15" s="44" t="s">
        <v>140</v>
      </c>
      <c r="D15" s="79" t="s">
        <v>29</v>
      </c>
      <c r="E15" s="79"/>
      <c r="F15" s="73"/>
      <c r="G15" s="73"/>
      <c r="H15" s="73"/>
      <c r="I15" s="99">
        <f t="shared" si="0"/>
        <v>0</v>
      </c>
    </row>
    <row r="16" spans="1:9" ht="90" x14ac:dyDescent="0.25">
      <c r="A16" s="80" t="s">
        <v>270</v>
      </c>
      <c r="B16" s="80">
        <v>90108</v>
      </c>
      <c r="C16" s="120" t="s">
        <v>141</v>
      </c>
      <c r="D16" s="79" t="s">
        <v>29</v>
      </c>
      <c r="E16" s="79"/>
      <c r="F16" s="73"/>
      <c r="G16" s="73"/>
      <c r="H16" s="73"/>
      <c r="I16" s="99">
        <f t="shared" si="0"/>
        <v>0</v>
      </c>
    </row>
    <row r="17" spans="1:9" x14ac:dyDescent="0.25">
      <c r="A17" s="119" t="s">
        <v>45</v>
      </c>
      <c r="B17" s="404" t="s">
        <v>174</v>
      </c>
      <c r="C17" s="404"/>
      <c r="D17" s="404"/>
      <c r="E17" s="404"/>
      <c r="F17" s="404"/>
      <c r="G17" s="404"/>
      <c r="H17" s="404"/>
      <c r="I17" s="404"/>
    </row>
    <row r="18" spans="1:9" ht="45" x14ac:dyDescent="0.25">
      <c r="A18" s="80" t="s">
        <v>271</v>
      </c>
      <c r="B18" s="80">
        <v>94037</v>
      </c>
      <c r="C18" s="120" t="s">
        <v>165</v>
      </c>
      <c r="D18" s="79" t="s">
        <v>19</v>
      </c>
      <c r="E18" s="79"/>
      <c r="F18" s="73"/>
      <c r="G18" s="73"/>
      <c r="H18" s="95"/>
      <c r="I18" s="99">
        <f>F18*G18</f>
        <v>0</v>
      </c>
    </row>
    <row r="19" spans="1:9" ht="60" x14ac:dyDescent="0.25">
      <c r="A19" s="80" t="s">
        <v>272</v>
      </c>
      <c r="B19" s="80">
        <v>94038</v>
      </c>
      <c r="C19" s="120" t="s">
        <v>166</v>
      </c>
      <c r="D19" s="79" t="s">
        <v>19</v>
      </c>
      <c r="E19" s="79"/>
      <c r="F19" s="73"/>
      <c r="G19" s="73"/>
      <c r="H19" s="95"/>
      <c r="I19" s="99">
        <f t="shared" ref="I19:I38" si="1">F19*G19</f>
        <v>0</v>
      </c>
    </row>
    <row r="20" spans="1:9" ht="60" x14ac:dyDescent="0.25">
      <c r="A20" s="80" t="s">
        <v>273</v>
      </c>
      <c r="B20" s="80">
        <v>94039</v>
      </c>
      <c r="C20" s="120" t="s">
        <v>167</v>
      </c>
      <c r="D20" s="79" t="s">
        <v>19</v>
      </c>
      <c r="E20" s="79"/>
      <c r="F20" s="73"/>
      <c r="G20" s="73"/>
      <c r="H20" s="95"/>
      <c r="I20" s="99">
        <f t="shared" si="1"/>
        <v>0</v>
      </c>
    </row>
    <row r="21" spans="1:9" ht="60" x14ac:dyDescent="0.25">
      <c r="A21" s="80" t="s">
        <v>274</v>
      </c>
      <c r="B21" s="80">
        <v>94040</v>
      </c>
      <c r="C21" s="120" t="s">
        <v>169</v>
      </c>
      <c r="D21" s="79" t="s">
        <v>19</v>
      </c>
      <c r="E21" s="79"/>
      <c r="F21" s="73"/>
      <c r="G21" s="73"/>
      <c r="H21" s="95"/>
      <c r="I21" s="99">
        <f t="shared" si="1"/>
        <v>0</v>
      </c>
    </row>
    <row r="22" spans="1:9" ht="60" x14ac:dyDescent="0.25">
      <c r="A22" s="80" t="s">
        <v>275</v>
      </c>
      <c r="B22" s="80">
        <v>94043</v>
      </c>
      <c r="C22" s="120" t="s">
        <v>168</v>
      </c>
      <c r="D22" s="79" t="s">
        <v>19</v>
      </c>
      <c r="E22" s="79"/>
      <c r="F22" s="73"/>
      <c r="G22" s="73"/>
      <c r="H22" s="95"/>
      <c r="I22" s="99">
        <f t="shared" si="1"/>
        <v>0</v>
      </c>
    </row>
    <row r="23" spans="1:9" ht="60" x14ac:dyDescent="0.25">
      <c r="A23" s="80" t="s">
        <v>276</v>
      </c>
      <c r="B23" s="80">
        <v>94044</v>
      </c>
      <c r="C23" s="120" t="s">
        <v>172</v>
      </c>
      <c r="D23" s="79" t="s">
        <v>19</v>
      </c>
      <c r="E23" s="79"/>
      <c r="F23" s="73"/>
      <c r="G23" s="73"/>
      <c r="H23" s="95"/>
      <c r="I23" s="99">
        <f t="shared" si="1"/>
        <v>0</v>
      </c>
    </row>
    <row r="24" spans="1:9" ht="60" x14ac:dyDescent="0.25">
      <c r="A24" s="80" t="s">
        <v>277</v>
      </c>
      <c r="B24" s="80">
        <v>94045</v>
      </c>
      <c r="C24" s="120" t="s">
        <v>170</v>
      </c>
      <c r="D24" s="79" t="s">
        <v>19</v>
      </c>
      <c r="E24" s="79"/>
      <c r="F24" s="73"/>
      <c r="G24" s="73"/>
      <c r="H24" s="95"/>
      <c r="I24" s="99">
        <f t="shared" si="1"/>
        <v>0</v>
      </c>
    </row>
    <row r="25" spans="1:9" ht="60" x14ac:dyDescent="0.25">
      <c r="A25" s="80" t="s">
        <v>278</v>
      </c>
      <c r="B25" s="80">
        <v>94046</v>
      </c>
      <c r="C25" s="120" t="s">
        <v>171</v>
      </c>
      <c r="D25" s="79" t="s">
        <v>19</v>
      </c>
      <c r="E25" s="79"/>
      <c r="F25" s="73"/>
      <c r="G25" s="73"/>
      <c r="H25" s="95"/>
      <c r="I25" s="99">
        <f t="shared" si="1"/>
        <v>0</v>
      </c>
    </row>
    <row r="26" spans="1:9" ht="60" x14ac:dyDescent="0.25">
      <c r="A26" s="80" t="s">
        <v>279</v>
      </c>
      <c r="B26" s="80">
        <v>94049</v>
      </c>
      <c r="C26" s="121" t="s">
        <v>213</v>
      </c>
      <c r="D26" s="79" t="s">
        <v>19</v>
      </c>
      <c r="E26" s="79"/>
      <c r="F26" s="73"/>
      <c r="G26" s="73"/>
      <c r="H26" s="95"/>
      <c r="I26" s="99">
        <f t="shared" si="1"/>
        <v>0</v>
      </c>
    </row>
    <row r="27" spans="1:9" ht="75" x14ac:dyDescent="0.25">
      <c r="A27" s="80" t="s">
        <v>280</v>
      </c>
      <c r="B27" s="80">
        <v>94050</v>
      </c>
      <c r="C27" s="120" t="s">
        <v>214</v>
      </c>
      <c r="D27" s="79" t="s">
        <v>19</v>
      </c>
      <c r="E27" s="79"/>
      <c r="F27" s="73"/>
      <c r="G27" s="73"/>
      <c r="H27" s="95"/>
      <c r="I27" s="99">
        <f t="shared" si="1"/>
        <v>0</v>
      </c>
    </row>
    <row r="28" spans="1:9" ht="60" x14ac:dyDescent="0.25">
      <c r="A28" s="80" t="s">
        <v>281</v>
      </c>
      <c r="B28" s="80">
        <v>94051</v>
      </c>
      <c r="C28" s="120" t="s">
        <v>215</v>
      </c>
      <c r="D28" s="79" t="s">
        <v>19</v>
      </c>
      <c r="E28" s="79"/>
      <c r="F28" s="73"/>
      <c r="G28" s="73"/>
      <c r="H28" s="95"/>
      <c r="I28" s="99">
        <f t="shared" si="1"/>
        <v>0</v>
      </c>
    </row>
    <row r="29" spans="1:9" ht="60" x14ac:dyDescent="0.25">
      <c r="A29" s="80" t="s">
        <v>282</v>
      </c>
      <c r="B29" s="80">
        <v>94052</v>
      </c>
      <c r="C29" s="120" t="s">
        <v>216</v>
      </c>
      <c r="D29" s="79" t="s">
        <v>19</v>
      </c>
      <c r="E29" s="79"/>
      <c r="F29" s="73"/>
      <c r="G29" s="73"/>
      <c r="H29" s="95"/>
      <c r="I29" s="99">
        <f t="shared" si="1"/>
        <v>0</v>
      </c>
    </row>
    <row r="30" spans="1:9" ht="60" x14ac:dyDescent="0.25">
      <c r="A30" s="80" t="s">
        <v>283</v>
      </c>
      <c r="B30" s="80">
        <v>94055</v>
      </c>
      <c r="C30" s="120" t="s">
        <v>217</v>
      </c>
      <c r="D30" s="79" t="s">
        <v>19</v>
      </c>
      <c r="E30" s="79"/>
      <c r="F30" s="73"/>
      <c r="G30" s="73"/>
      <c r="H30" s="95"/>
      <c r="I30" s="99">
        <f t="shared" si="1"/>
        <v>0</v>
      </c>
    </row>
    <row r="31" spans="1:9" ht="75" x14ac:dyDescent="0.25">
      <c r="A31" s="80" t="s">
        <v>284</v>
      </c>
      <c r="B31" s="80">
        <v>94056</v>
      </c>
      <c r="C31" s="120" t="s">
        <v>218</v>
      </c>
      <c r="D31" s="79" t="s">
        <v>19</v>
      </c>
      <c r="E31" s="79"/>
      <c r="F31" s="73"/>
      <c r="G31" s="73"/>
      <c r="H31" s="95"/>
      <c r="I31" s="99">
        <f t="shared" si="1"/>
        <v>0</v>
      </c>
    </row>
    <row r="32" spans="1:9" ht="60" x14ac:dyDescent="0.25">
      <c r="A32" s="80" t="s">
        <v>285</v>
      </c>
      <c r="B32" s="80">
        <v>94057</v>
      </c>
      <c r="C32" s="120" t="s">
        <v>219</v>
      </c>
      <c r="D32" s="79" t="s">
        <v>19</v>
      </c>
      <c r="E32" s="79"/>
      <c r="F32" s="73"/>
      <c r="G32" s="73"/>
      <c r="H32" s="95"/>
      <c r="I32" s="99">
        <f t="shared" si="1"/>
        <v>0</v>
      </c>
    </row>
    <row r="33" spans="1:9" ht="60" x14ac:dyDescent="0.25">
      <c r="A33" s="80" t="s">
        <v>286</v>
      </c>
      <c r="B33" s="80">
        <v>94058</v>
      </c>
      <c r="C33" s="120" t="s">
        <v>220</v>
      </c>
      <c r="D33" s="79" t="s">
        <v>19</v>
      </c>
      <c r="E33" s="79"/>
      <c r="F33" s="73"/>
      <c r="G33" s="73"/>
      <c r="H33" s="95"/>
      <c r="I33" s="99">
        <f t="shared" si="1"/>
        <v>0</v>
      </c>
    </row>
    <row r="34" spans="1:9" x14ac:dyDescent="0.25">
      <c r="A34" s="119" t="s">
        <v>126</v>
      </c>
      <c r="B34" s="404" t="s">
        <v>176</v>
      </c>
      <c r="C34" s="404"/>
      <c r="D34" s="404"/>
      <c r="E34" s="404"/>
      <c r="F34" s="404"/>
      <c r="G34" s="404"/>
      <c r="H34" s="404"/>
      <c r="I34" s="404"/>
    </row>
    <row r="35" spans="1:9" ht="45" x14ac:dyDescent="0.25">
      <c r="A35" s="80" t="s">
        <v>287</v>
      </c>
      <c r="B35" s="80">
        <v>94097</v>
      </c>
      <c r="C35" s="120" t="s">
        <v>145</v>
      </c>
      <c r="D35" s="64" t="s">
        <v>19</v>
      </c>
      <c r="E35" s="64"/>
      <c r="F35" s="73"/>
      <c r="G35" s="73"/>
      <c r="H35" s="95"/>
      <c r="I35" s="99">
        <f t="shared" si="1"/>
        <v>0</v>
      </c>
    </row>
    <row r="36" spans="1:9" ht="45" x14ac:dyDescent="0.25">
      <c r="A36" s="80" t="s">
        <v>288</v>
      </c>
      <c r="B36" s="80">
        <v>94098</v>
      </c>
      <c r="C36" s="120" t="s">
        <v>146</v>
      </c>
      <c r="D36" s="64" t="s">
        <v>19</v>
      </c>
      <c r="E36" s="64"/>
      <c r="F36" s="73"/>
      <c r="G36" s="73"/>
      <c r="H36" s="95"/>
      <c r="I36" s="99">
        <f t="shared" si="1"/>
        <v>0</v>
      </c>
    </row>
    <row r="37" spans="1:9" ht="45" x14ac:dyDescent="0.25">
      <c r="A37" s="80" t="s">
        <v>289</v>
      </c>
      <c r="B37" s="80">
        <v>94099</v>
      </c>
      <c r="C37" s="120" t="s">
        <v>147</v>
      </c>
      <c r="D37" s="64" t="s">
        <v>19</v>
      </c>
      <c r="E37" s="64"/>
      <c r="F37" s="73"/>
      <c r="G37" s="73"/>
      <c r="H37" s="95"/>
      <c r="I37" s="99">
        <f t="shared" si="1"/>
        <v>0</v>
      </c>
    </row>
    <row r="38" spans="1:9" ht="45" x14ac:dyDescent="0.25">
      <c r="A38" s="80" t="s">
        <v>290</v>
      </c>
      <c r="B38" s="80">
        <v>94100</v>
      </c>
      <c r="C38" s="44" t="s">
        <v>148</v>
      </c>
      <c r="D38" s="64" t="s">
        <v>19</v>
      </c>
      <c r="E38" s="64"/>
      <c r="F38" s="73"/>
      <c r="G38" s="73"/>
      <c r="H38" s="95"/>
      <c r="I38" s="99">
        <f t="shared" si="1"/>
        <v>0</v>
      </c>
    </row>
    <row r="39" spans="1:9" x14ac:dyDescent="0.25">
      <c r="A39" s="119" t="s">
        <v>234</v>
      </c>
      <c r="B39" s="404" t="s">
        <v>175</v>
      </c>
      <c r="C39" s="404"/>
      <c r="D39" s="404"/>
      <c r="E39" s="404"/>
      <c r="F39" s="404"/>
      <c r="G39" s="404"/>
      <c r="H39" s="404"/>
      <c r="I39" s="404"/>
    </row>
    <row r="40" spans="1:9" ht="60" x14ac:dyDescent="0.25">
      <c r="A40" s="80" t="s">
        <v>291</v>
      </c>
      <c r="B40" s="80">
        <v>94102</v>
      </c>
      <c r="C40" s="120" t="s">
        <v>154</v>
      </c>
      <c r="D40" s="79" t="s">
        <v>29</v>
      </c>
      <c r="E40" s="79"/>
      <c r="F40" s="73"/>
      <c r="G40" s="73"/>
      <c r="H40" s="73"/>
      <c r="I40" s="99">
        <f>F40*G40</f>
        <v>0</v>
      </c>
    </row>
    <row r="41" spans="1:9" ht="60" x14ac:dyDescent="0.25">
      <c r="A41" s="80" t="s">
        <v>292</v>
      </c>
      <c r="B41" s="80">
        <v>94103</v>
      </c>
      <c r="C41" s="120" t="s">
        <v>155</v>
      </c>
      <c r="D41" s="79" t="s">
        <v>29</v>
      </c>
      <c r="E41" s="79"/>
      <c r="F41" s="73"/>
      <c r="G41" s="73"/>
      <c r="H41" s="73"/>
      <c r="I41" s="99">
        <f t="shared" ref="I41:I55" si="2">F41*G41</f>
        <v>0</v>
      </c>
    </row>
    <row r="42" spans="1:9" ht="60" x14ac:dyDescent="0.25">
      <c r="A42" s="80" t="s">
        <v>293</v>
      </c>
      <c r="B42" s="80">
        <v>94104</v>
      </c>
      <c r="C42" s="120" t="s">
        <v>149</v>
      </c>
      <c r="D42" s="79" t="s">
        <v>29</v>
      </c>
      <c r="E42" s="79"/>
      <c r="F42" s="73"/>
      <c r="G42" s="73"/>
      <c r="H42" s="73"/>
      <c r="I42" s="99">
        <f t="shared" si="2"/>
        <v>0</v>
      </c>
    </row>
    <row r="43" spans="1:9" ht="60" x14ac:dyDescent="0.25">
      <c r="A43" s="80" t="s">
        <v>294</v>
      </c>
      <c r="B43" s="80">
        <v>94105</v>
      </c>
      <c r="C43" s="120" t="s">
        <v>150</v>
      </c>
      <c r="D43" s="79" t="s">
        <v>29</v>
      </c>
      <c r="E43" s="79"/>
      <c r="F43" s="73"/>
      <c r="G43" s="73"/>
      <c r="H43" s="73"/>
      <c r="I43" s="99">
        <f t="shared" si="2"/>
        <v>0</v>
      </c>
    </row>
    <row r="44" spans="1:9" ht="60" x14ac:dyDescent="0.25">
      <c r="A44" s="80" t="s">
        <v>295</v>
      </c>
      <c r="B44" s="80">
        <v>94106</v>
      </c>
      <c r="C44" s="120" t="s">
        <v>151</v>
      </c>
      <c r="D44" s="79" t="s">
        <v>29</v>
      </c>
      <c r="E44" s="79"/>
      <c r="F44" s="73"/>
      <c r="G44" s="73"/>
      <c r="H44" s="73"/>
      <c r="I44" s="99">
        <f t="shared" si="2"/>
        <v>0</v>
      </c>
    </row>
    <row r="45" spans="1:9" ht="60" x14ac:dyDescent="0.25">
      <c r="A45" s="80" t="s">
        <v>296</v>
      </c>
      <c r="B45" s="80">
        <v>94107</v>
      </c>
      <c r="C45" s="120" t="s">
        <v>152</v>
      </c>
      <c r="D45" s="79" t="s">
        <v>29</v>
      </c>
      <c r="E45" s="79"/>
      <c r="F45" s="73"/>
      <c r="G45" s="73"/>
      <c r="H45" s="73"/>
      <c r="I45" s="99">
        <f t="shared" si="2"/>
        <v>0</v>
      </c>
    </row>
    <row r="46" spans="1:9" ht="60" x14ac:dyDescent="0.25">
      <c r="A46" s="80" t="s">
        <v>297</v>
      </c>
      <c r="B46" s="80">
        <v>94108</v>
      </c>
      <c r="C46" s="120" t="s">
        <v>153</v>
      </c>
      <c r="D46" s="79" t="s">
        <v>29</v>
      </c>
      <c r="E46" s="79"/>
      <c r="F46" s="73"/>
      <c r="G46" s="73"/>
      <c r="H46" s="73"/>
      <c r="I46" s="99">
        <f t="shared" si="2"/>
        <v>0</v>
      </c>
    </row>
    <row r="47" spans="1:9" ht="60" x14ac:dyDescent="0.25">
      <c r="A47" s="80" t="s">
        <v>298</v>
      </c>
      <c r="B47" s="80">
        <v>94110</v>
      </c>
      <c r="C47" s="120" t="s">
        <v>156</v>
      </c>
      <c r="D47" s="79" t="s">
        <v>29</v>
      </c>
      <c r="E47" s="79"/>
      <c r="F47" s="73"/>
      <c r="G47" s="73"/>
      <c r="H47" s="73"/>
      <c r="I47" s="99">
        <f t="shared" si="2"/>
        <v>0</v>
      </c>
    </row>
    <row r="48" spans="1:9" ht="60" x14ac:dyDescent="0.25">
      <c r="A48" s="80" t="s">
        <v>299</v>
      </c>
      <c r="B48" s="80">
        <v>94111</v>
      </c>
      <c r="C48" s="120" t="s">
        <v>157</v>
      </c>
      <c r="D48" s="79" t="s">
        <v>29</v>
      </c>
      <c r="E48" s="79"/>
      <c r="F48" s="73"/>
      <c r="G48" s="73"/>
      <c r="H48" s="73"/>
      <c r="I48" s="99">
        <f t="shared" si="2"/>
        <v>0</v>
      </c>
    </row>
    <row r="49" spans="1:9" ht="60" x14ac:dyDescent="0.25">
      <c r="A49" s="80" t="s">
        <v>300</v>
      </c>
      <c r="B49" s="80">
        <v>94112</v>
      </c>
      <c r="C49" s="120" t="s">
        <v>158</v>
      </c>
      <c r="D49" s="79" t="s">
        <v>29</v>
      </c>
      <c r="E49" s="79"/>
      <c r="F49" s="73"/>
      <c r="G49" s="73"/>
      <c r="H49" s="73"/>
      <c r="I49" s="99">
        <f t="shared" si="2"/>
        <v>0</v>
      </c>
    </row>
    <row r="50" spans="1:9" ht="60" x14ac:dyDescent="0.25">
      <c r="A50" s="80" t="s">
        <v>301</v>
      </c>
      <c r="B50" s="80">
        <v>94113</v>
      </c>
      <c r="C50" s="120" t="s">
        <v>159</v>
      </c>
      <c r="D50" s="79" t="s">
        <v>29</v>
      </c>
      <c r="E50" s="79"/>
      <c r="F50" s="73"/>
      <c r="G50" s="73"/>
      <c r="H50" s="73"/>
      <c r="I50" s="99">
        <f t="shared" si="2"/>
        <v>0</v>
      </c>
    </row>
    <row r="51" spans="1:9" ht="60" x14ac:dyDescent="0.25">
      <c r="A51" s="80" t="s">
        <v>302</v>
      </c>
      <c r="B51" s="80">
        <v>94114</v>
      </c>
      <c r="C51" s="120" t="s">
        <v>160</v>
      </c>
      <c r="D51" s="79" t="s">
        <v>29</v>
      </c>
      <c r="E51" s="79"/>
      <c r="F51" s="73"/>
      <c r="G51" s="73"/>
      <c r="H51" s="73"/>
      <c r="I51" s="99">
        <f t="shared" si="2"/>
        <v>0</v>
      </c>
    </row>
    <row r="52" spans="1:9" ht="60" x14ac:dyDescent="0.25">
      <c r="A52" s="80" t="s">
        <v>303</v>
      </c>
      <c r="B52" s="80">
        <v>94115</v>
      </c>
      <c r="C52" s="120" t="s">
        <v>161</v>
      </c>
      <c r="D52" s="79" t="s">
        <v>29</v>
      </c>
      <c r="E52" s="79"/>
      <c r="F52" s="73"/>
      <c r="G52" s="73"/>
      <c r="H52" s="73"/>
      <c r="I52" s="99">
        <f t="shared" si="2"/>
        <v>0</v>
      </c>
    </row>
    <row r="53" spans="1:9" ht="60" x14ac:dyDescent="0.25">
      <c r="A53" s="80" t="s">
        <v>304</v>
      </c>
      <c r="B53" s="80">
        <v>94116</v>
      </c>
      <c r="C53" s="120" t="s">
        <v>162</v>
      </c>
      <c r="D53" s="79" t="s">
        <v>29</v>
      </c>
      <c r="E53" s="79"/>
      <c r="F53" s="73"/>
      <c r="G53" s="73"/>
      <c r="H53" s="73"/>
      <c r="I53" s="99">
        <f t="shared" si="2"/>
        <v>0</v>
      </c>
    </row>
    <row r="54" spans="1:9" ht="60" x14ac:dyDescent="0.25">
      <c r="A54" s="80" t="s">
        <v>305</v>
      </c>
      <c r="B54" s="80">
        <v>94117</v>
      </c>
      <c r="C54" s="120" t="s">
        <v>163</v>
      </c>
      <c r="D54" s="79" t="s">
        <v>29</v>
      </c>
      <c r="E54" s="79"/>
      <c r="F54" s="73"/>
      <c r="G54" s="73"/>
      <c r="H54" s="73"/>
      <c r="I54" s="99">
        <f t="shared" si="2"/>
        <v>0</v>
      </c>
    </row>
    <row r="55" spans="1:9" ht="60" x14ac:dyDescent="0.25">
      <c r="A55" s="80" t="s">
        <v>306</v>
      </c>
      <c r="B55" s="80">
        <v>94118</v>
      </c>
      <c r="C55" s="120" t="s">
        <v>164</v>
      </c>
      <c r="D55" s="79" t="s">
        <v>29</v>
      </c>
      <c r="E55" s="79"/>
      <c r="F55" s="73"/>
      <c r="G55" s="73"/>
      <c r="H55" s="73"/>
      <c r="I55" s="99">
        <f t="shared" si="2"/>
        <v>0</v>
      </c>
    </row>
    <row r="56" spans="1:9" ht="15" customHeight="1" x14ac:dyDescent="0.25">
      <c r="A56" s="119" t="s">
        <v>235</v>
      </c>
      <c r="B56" s="404" t="s">
        <v>205</v>
      </c>
      <c r="C56" s="404"/>
      <c r="D56" s="404"/>
      <c r="E56" s="404"/>
      <c r="F56" s="404"/>
      <c r="G56" s="404"/>
      <c r="H56" s="404"/>
      <c r="I56" s="404"/>
    </row>
    <row r="57" spans="1:9" ht="75" x14ac:dyDescent="0.25">
      <c r="A57" s="80" t="s">
        <v>307</v>
      </c>
      <c r="B57" s="80">
        <v>92210</v>
      </c>
      <c r="C57" s="122" t="s">
        <v>177</v>
      </c>
      <c r="D57" s="79" t="s">
        <v>41</v>
      </c>
      <c r="E57" s="60"/>
      <c r="F57" s="73"/>
      <c r="G57" s="95"/>
      <c r="H57" s="95"/>
      <c r="I57" s="99">
        <f>F57</f>
        <v>0</v>
      </c>
    </row>
    <row r="58" spans="1:9" ht="75" x14ac:dyDescent="0.25">
      <c r="A58" s="80" t="s">
        <v>308</v>
      </c>
      <c r="B58" s="80">
        <v>92211</v>
      </c>
      <c r="C58" s="121" t="s">
        <v>178</v>
      </c>
      <c r="D58" s="79" t="s">
        <v>41</v>
      </c>
      <c r="E58" s="60"/>
      <c r="F58" s="73"/>
      <c r="G58" s="95"/>
      <c r="H58" s="95"/>
      <c r="I58" s="99">
        <f t="shared" ref="I58:I70" si="3">F58</f>
        <v>0</v>
      </c>
    </row>
    <row r="59" spans="1:9" ht="75" x14ac:dyDescent="0.25">
      <c r="A59" s="80" t="s">
        <v>309</v>
      </c>
      <c r="B59" s="80">
        <v>92212</v>
      </c>
      <c r="C59" s="121" t="s">
        <v>179</v>
      </c>
      <c r="D59" s="79" t="s">
        <v>41</v>
      </c>
      <c r="E59" s="60"/>
      <c r="F59" s="73"/>
      <c r="G59" s="95"/>
      <c r="H59" s="95"/>
      <c r="I59" s="99">
        <f t="shared" si="3"/>
        <v>0</v>
      </c>
    </row>
    <row r="60" spans="1:9" ht="75" x14ac:dyDescent="0.25">
      <c r="A60" s="80" t="s">
        <v>310</v>
      </c>
      <c r="B60" s="80">
        <v>92213</v>
      </c>
      <c r="C60" s="121" t="s">
        <v>180</v>
      </c>
      <c r="D60" s="79" t="s">
        <v>41</v>
      </c>
      <c r="E60" s="60"/>
      <c r="F60" s="73"/>
      <c r="G60" s="95"/>
      <c r="H60" s="95"/>
      <c r="I60" s="99">
        <f t="shared" si="3"/>
        <v>0</v>
      </c>
    </row>
    <row r="61" spans="1:9" ht="75" x14ac:dyDescent="0.25">
      <c r="A61" s="80" t="s">
        <v>311</v>
      </c>
      <c r="B61" s="80">
        <v>92214</v>
      </c>
      <c r="C61" s="121" t="s">
        <v>181</v>
      </c>
      <c r="D61" s="79" t="s">
        <v>41</v>
      </c>
      <c r="E61" s="60"/>
      <c r="F61" s="73"/>
      <c r="G61" s="95"/>
      <c r="H61" s="95"/>
      <c r="I61" s="99">
        <f t="shared" si="3"/>
        <v>0</v>
      </c>
    </row>
    <row r="62" spans="1:9" ht="75" x14ac:dyDescent="0.25">
      <c r="A62" s="80" t="s">
        <v>312</v>
      </c>
      <c r="B62" s="80">
        <v>92215</v>
      </c>
      <c r="C62" s="121" t="s">
        <v>182</v>
      </c>
      <c r="D62" s="79" t="s">
        <v>41</v>
      </c>
      <c r="E62" s="60"/>
      <c r="F62" s="73"/>
      <c r="G62" s="95"/>
      <c r="H62" s="95"/>
      <c r="I62" s="99">
        <f t="shared" si="3"/>
        <v>0</v>
      </c>
    </row>
    <row r="63" spans="1:9" ht="75" x14ac:dyDescent="0.25">
      <c r="A63" s="80" t="s">
        <v>313</v>
      </c>
      <c r="B63" s="80">
        <v>92216</v>
      </c>
      <c r="C63" s="121" t="s">
        <v>183</v>
      </c>
      <c r="D63" s="79" t="s">
        <v>41</v>
      </c>
      <c r="E63" s="60"/>
      <c r="F63" s="73"/>
      <c r="G63" s="95"/>
      <c r="H63" s="95"/>
      <c r="I63" s="99">
        <f t="shared" si="3"/>
        <v>0</v>
      </c>
    </row>
    <row r="64" spans="1:9" ht="60" x14ac:dyDescent="0.25">
      <c r="A64" s="80" t="s">
        <v>314</v>
      </c>
      <c r="B64" s="80">
        <v>92219</v>
      </c>
      <c r="C64" s="121" t="s">
        <v>184</v>
      </c>
      <c r="D64" s="79" t="s">
        <v>41</v>
      </c>
      <c r="E64" s="60"/>
      <c r="F64" s="73"/>
      <c r="G64" s="95"/>
      <c r="H64" s="95"/>
      <c r="I64" s="99">
        <f t="shared" si="3"/>
        <v>0</v>
      </c>
    </row>
    <row r="65" spans="1:9" ht="60" x14ac:dyDescent="0.25">
      <c r="A65" s="80" t="s">
        <v>315</v>
      </c>
      <c r="B65" s="80">
        <v>92220</v>
      </c>
      <c r="C65" s="121" t="s">
        <v>185</v>
      </c>
      <c r="D65" s="79" t="s">
        <v>41</v>
      </c>
      <c r="E65" s="60"/>
      <c r="F65" s="73"/>
      <c r="G65" s="95"/>
      <c r="H65" s="95"/>
      <c r="I65" s="99">
        <f t="shared" si="3"/>
        <v>0</v>
      </c>
    </row>
    <row r="66" spans="1:9" ht="60" x14ac:dyDescent="0.25">
      <c r="A66" s="80" t="s">
        <v>316</v>
      </c>
      <c r="B66" s="80">
        <v>92221</v>
      </c>
      <c r="C66" s="121" t="s">
        <v>186</v>
      </c>
      <c r="D66" s="79" t="s">
        <v>41</v>
      </c>
      <c r="E66" s="60"/>
      <c r="F66" s="73"/>
      <c r="G66" s="95"/>
      <c r="H66" s="95"/>
      <c r="I66" s="99">
        <f t="shared" si="3"/>
        <v>0</v>
      </c>
    </row>
    <row r="67" spans="1:9" ht="60" x14ac:dyDescent="0.25">
      <c r="A67" s="80" t="s">
        <v>317</v>
      </c>
      <c r="B67" s="80">
        <v>92222</v>
      </c>
      <c r="C67" s="121" t="s">
        <v>187</v>
      </c>
      <c r="D67" s="79" t="s">
        <v>41</v>
      </c>
      <c r="E67" s="60"/>
      <c r="F67" s="73"/>
      <c r="G67" s="95"/>
      <c r="H67" s="95"/>
      <c r="I67" s="99">
        <f t="shared" si="3"/>
        <v>0</v>
      </c>
    </row>
    <row r="68" spans="1:9" ht="60" x14ac:dyDescent="0.25">
      <c r="A68" s="80" t="s">
        <v>318</v>
      </c>
      <c r="B68" s="80">
        <v>92223</v>
      </c>
      <c r="C68" s="121" t="s">
        <v>188</v>
      </c>
      <c r="D68" s="79" t="s">
        <v>41</v>
      </c>
      <c r="E68" s="60"/>
      <c r="F68" s="73"/>
      <c r="G68" s="95"/>
      <c r="H68" s="95"/>
      <c r="I68" s="99">
        <f t="shared" si="3"/>
        <v>0</v>
      </c>
    </row>
    <row r="69" spans="1:9" ht="60" x14ac:dyDescent="0.25">
      <c r="A69" s="80" t="s">
        <v>319</v>
      </c>
      <c r="B69" s="80">
        <v>92224</v>
      </c>
      <c r="C69" s="121" t="s">
        <v>189</v>
      </c>
      <c r="D69" s="79" t="s">
        <v>41</v>
      </c>
      <c r="E69" s="60"/>
      <c r="F69" s="73"/>
      <c r="G69" s="95"/>
      <c r="H69" s="95"/>
      <c r="I69" s="99">
        <f t="shared" si="3"/>
        <v>0</v>
      </c>
    </row>
    <row r="70" spans="1:9" ht="60" x14ac:dyDescent="0.25">
      <c r="A70" s="80" t="s">
        <v>320</v>
      </c>
      <c r="B70" s="80">
        <v>92226</v>
      </c>
      <c r="C70" s="121" t="s">
        <v>190</v>
      </c>
      <c r="D70" s="79" t="s">
        <v>41</v>
      </c>
      <c r="E70" s="60"/>
      <c r="F70" s="73"/>
      <c r="G70" s="95"/>
      <c r="H70" s="95"/>
      <c r="I70" s="99">
        <f t="shared" si="3"/>
        <v>0</v>
      </c>
    </row>
    <row r="71" spans="1:9" ht="15" customHeight="1" x14ac:dyDescent="0.25">
      <c r="A71" s="119" t="s">
        <v>321</v>
      </c>
      <c r="B71" s="404" t="s">
        <v>191</v>
      </c>
      <c r="C71" s="404"/>
      <c r="D71" s="404"/>
      <c r="E71" s="404"/>
      <c r="F71" s="404"/>
      <c r="G71" s="404"/>
      <c r="H71" s="404"/>
      <c r="I71" s="404"/>
    </row>
    <row r="72" spans="1:9" ht="45" x14ac:dyDescent="0.25">
      <c r="A72" s="80" t="s">
        <v>322</v>
      </c>
      <c r="B72" s="80" t="s">
        <v>193</v>
      </c>
      <c r="C72" s="121" t="s">
        <v>192</v>
      </c>
      <c r="D72" s="79" t="s">
        <v>194</v>
      </c>
      <c r="E72" s="116"/>
      <c r="F72" s="95"/>
      <c r="G72" s="95"/>
      <c r="H72" s="95"/>
      <c r="I72" s="99">
        <f>E72</f>
        <v>0</v>
      </c>
    </row>
    <row r="73" spans="1:9" ht="45" x14ac:dyDescent="0.25">
      <c r="A73" s="80" t="s">
        <v>323</v>
      </c>
      <c r="B73" s="80" t="s">
        <v>196</v>
      </c>
      <c r="C73" s="120" t="s">
        <v>195</v>
      </c>
      <c r="D73" s="79" t="s">
        <v>194</v>
      </c>
      <c r="E73" s="116"/>
      <c r="F73" s="95"/>
      <c r="G73" s="95"/>
      <c r="H73" s="95"/>
      <c r="I73" s="99">
        <f t="shared" ref="I73:I77" si="4">E73</f>
        <v>0</v>
      </c>
    </row>
    <row r="74" spans="1:9" ht="45" x14ac:dyDescent="0.25">
      <c r="A74" s="80" t="s">
        <v>324</v>
      </c>
      <c r="B74" s="80" t="s">
        <v>198</v>
      </c>
      <c r="C74" s="120" t="s">
        <v>197</v>
      </c>
      <c r="D74" s="79" t="s">
        <v>194</v>
      </c>
      <c r="E74" s="116"/>
      <c r="F74" s="95"/>
      <c r="G74" s="95"/>
      <c r="H74" s="95"/>
      <c r="I74" s="99">
        <f t="shared" si="4"/>
        <v>0</v>
      </c>
    </row>
    <row r="75" spans="1:9" ht="45" x14ac:dyDescent="0.25">
      <c r="A75" s="80" t="s">
        <v>325</v>
      </c>
      <c r="B75" s="80" t="s">
        <v>200</v>
      </c>
      <c r="C75" s="120" t="s">
        <v>199</v>
      </c>
      <c r="D75" s="79" t="s">
        <v>194</v>
      </c>
      <c r="E75" s="116"/>
      <c r="F75" s="95"/>
      <c r="G75" s="95"/>
      <c r="H75" s="95"/>
      <c r="I75" s="99">
        <f t="shared" si="4"/>
        <v>0</v>
      </c>
    </row>
    <row r="76" spans="1:9" ht="60" x14ac:dyDescent="0.25">
      <c r="A76" s="80" t="s">
        <v>326</v>
      </c>
      <c r="B76" s="80" t="s">
        <v>202</v>
      </c>
      <c r="C76" s="120" t="s">
        <v>201</v>
      </c>
      <c r="D76" s="79" t="s">
        <v>194</v>
      </c>
      <c r="E76" s="116"/>
      <c r="F76" s="95"/>
      <c r="G76" s="95"/>
      <c r="H76" s="95"/>
      <c r="I76" s="99">
        <f t="shared" si="4"/>
        <v>0</v>
      </c>
    </row>
    <row r="77" spans="1:9" ht="45" x14ac:dyDescent="0.25">
      <c r="A77" s="80" t="s">
        <v>327</v>
      </c>
      <c r="B77" s="80" t="s">
        <v>203</v>
      </c>
      <c r="C77" s="120" t="s">
        <v>204</v>
      </c>
      <c r="D77" s="79" t="s">
        <v>194</v>
      </c>
      <c r="E77" s="116"/>
      <c r="F77" s="95"/>
      <c r="G77" s="95"/>
      <c r="H77" s="95"/>
      <c r="I77" s="99">
        <f t="shared" si="4"/>
        <v>0</v>
      </c>
    </row>
    <row r="78" spans="1:9" ht="15" customHeight="1" x14ac:dyDescent="0.25">
      <c r="A78" s="119" t="s">
        <v>341</v>
      </c>
      <c r="B78" s="404" t="s">
        <v>221</v>
      </c>
      <c r="C78" s="404"/>
      <c r="D78" s="404"/>
      <c r="E78" s="404"/>
      <c r="F78" s="404"/>
      <c r="G78" s="404"/>
      <c r="H78" s="404"/>
      <c r="I78" s="404"/>
    </row>
    <row r="79" spans="1:9" ht="90" x14ac:dyDescent="0.25">
      <c r="A79" s="80" t="s">
        <v>328</v>
      </c>
      <c r="B79" s="80">
        <v>93374</v>
      </c>
      <c r="C79" s="121" t="s">
        <v>223</v>
      </c>
      <c r="D79" s="79" t="s">
        <v>29</v>
      </c>
      <c r="E79" s="79"/>
      <c r="F79" s="73"/>
      <c r="G79" s="73"/>
      <c r="H79" s="73"/>
      <c r="I79" s="99">
        <f t="shared" ref="I79:I88" si="5">F79*G79*H79</f>
        <v>0</v>
      </c>
    </row>
    <row r="80" spans="1:9" ht="90" x14ac:dyDescent="0.25">
      <c r="A80" s="80" t="s">
        <v>329</v>
      </c>
      <c r="B80" s="80">
        <v>93375</v>
      </c>
      <c r="C80" s="121" t="s">
        <v>224</v>
      </c>
      <c r="D80" s="79" t="s">
        <v>29</v>
      </c>
      <c r="E80" s="79"/>
      <c r="F80" s="73"/>
      <c r="G80" s="73"/>
      <c r="H80" s="73"/>
      <c r="I80" s="99">
        <f t="shared" si="5"/>
        <v>0</v>
      </c>
    </row>
    <row r="81" spans="1:9" ht="90" x14ac:dyDescent="0.25">
      <c r="A81" s="80" t="s">
        <v>330</v>
      </c>
      <c r="B81" s="80">
        <v>93376</v>
      </c>
      <c r="C81" s="121" t="s">
        <v>225</v>
      </c>
      <c r="D81" s="79" t="s">
        <v>29</v>
      </c>
      <c r="E81" s="79"/>
      <c r="F81" s="73"/>
      <c r="G81" s="73"/>
      <c r="H81" s="73"/>
      <c r="I81" s="99">
        <f t="shared" si="5"/>
        <v>0</v>
      </c>
    </row>
    <row r="82" spans="1:9" ht="90" x14ac:dyDescent="0.25">
      <c r="A82" s="80" t="s">
        <v>331</v>
      </c>
      <c r="B82" s="80">
        <v>93377</v>
      </c>
      <c r="C82" s="121" t="s">
        <v>226</v>
      </c>
      <c r="D82" s="79" t="s">
        <v>29</v>
      </c>
      <c r="E82" s="79"/>
      <c r="F82" s="73"/>
      <c r="G82" s="73"/>
      <c r="H82" s="73"/>
      <c r="I82" s="99">
        <f t="shared" si="5"/>
        <v>0</v>
      </c>
    </row>
    <row r="83" spans="1:9" ht="90" x14ac:dyDescent="0.25">
      <c r="A83" s="80" t="s">
        <v>332</v>
      </c>
      <c r="B83" s="80">
        <v>93378</v>
      </c>
      <c r="C83" s="121" t="s">
        <v>227</v>
      </c>
      <c r="D83" s="79" t="s">
        <v>29</v>
      </c>
      <c r="E83" s="79"/>
      <c r="F83" s="73"/>
      <c r="G83" s="73"/>
      <c r="H83" s="73"/>
      <c r="I83" s="99">
        <f t="shared" si="5"/>
        <v>0</v>
      </c>
    </row>
    <row r="84" spans="1:9" ht="90" x14ac:dyDescent="0.25">
      <c r="A84" s="80" t="s">
        <v>333</v>
      </c>
      <c r="B84" s="80">
        <v>93379</v>
      </c>
      <c r="C84" s="121" t="s">
        <v>228</v>
      </c>
      <c r="D84" s="79" t="s">
        <v>29</v>
      </c>
      <c r="E84" s="79"/>
      <c r="F84" s="73"/>
      <c r="G84" s="73"/>
      <c r="H84" s="73"/>
      <c r="I84" s="99">
        <f t="shared" si="5"/>
        <v>0</v>
      </c>
    </row>
    <row r="85" spans="1:9" ht="90" x14ac:dyDescent="0.25">
      <c r="A85" s="80" t="s">
        <v>334</v>
      </c>
      <c r="B85" s="80">
        <v>93380</v>
      </c>
      <c r="C85" s="121" t="s">
        <v>229</v>
      </c>
      <c r="D85" s="79" t="s">
        <v>29</v>
      </c>
      <c r="E85" s="79"/>
      <c r="F85" s="73"/>
      <c r="G85" s="73"/>
      <c r="H85" s="73"/>
      <c r="I85" s="99">
        <f t="shared" si="5"/>
        <v>0</v>
      </c>
    </row>
    <row r="86" spans="1:9" ht="90" x14ac:dyDescent="0.25">
      <c r="A86" s="80" t="s">
        <v>335</v>
      </c>
      <c r="B86" s="80">
        <v>93381</v>
      </c>
      <c r="C86" s="121" t="s">
        <v>230</v>
      </c>
      <c r="D86" s="79" t="s">
        <v>29</v>
      </c>
      <c r="E86" s="79"/>
      <c r="F86" s="73"/>
      <c r="G86" s="73"/>
      <c r="H86" s="73"/>
      <c r="I86" s="99">
        <f t="shared" si="5"/>
        <v>0</v>
      </c>
    </row>
    <row r="87" spans="1:9" ht="30" x14ac:dyDescent="0.25">
      <c r="A87" s="80" t="s">
        <v>336</v>
      </c>
      <c r="B87" s="80">
        <v>93382</v>
      </c>
      <c r="C87" s="121" t="s">
        <v>231</v>
      </c>
      <c r="D87" s="79" t="s">
        <v>29</v>
      </c>
      <c r="E87" s="79"/>
      <c r="F87" s="73"/>
      <c r="G87" s="73"/>
      <c r="H87" s="73"/>
      <c r="I87" s="99">
        <f t="shared" si="5"/>
        <v>0</v>
      </c>
    </row>
    <row r="88" spans="1:9" ht="15.75" x14ac:dyDescent="0.25">
      <c r="A88" s="80" t="s">
        <v>337</v>
      </c>
      <c r="B88" s="80">
        <v>96995</v>
      </c>
      <c r="C88" s="121" t="s">
        <v>232</v>
      </c>
      <c r="D88" s="79" t="s">
        <v>29</v>
      </c>
      <c r="E88" s="79"/>
      <c r="F88" s="73"/>
      <c r="G88" s="73"/>
      <c r="H88" s="73"/>
      <c r="I88" s="99">
        <f t="shared" si="5"/>
        <v>0</v>
      </c>
    </row>
    <row r="89" spans="1:9" ht="30" x14ac:dyDescent="0.25">
      <c r="A89" s="80" t="s">
        <v>338</v>
      </c>
      <c r="B89" s="80">
        <v>83346</v>
      </c>
      <c r="C89" s="44" t="s">
        <v>222</v>
      </c>
      <c r="D89" s="79" t="s">
        <v>29</v>
      </c>
      <c r="E89" s="79"/>
      <c r="F89" s="73"/>
      <c r="G89" s="73"/>
      <c r="H89" s="73"/>
      <c r="I89" s="99">
        <f>F89*G89*H89</f>
        <v>0</v>
      </c>
    </row>
    <row r="90" spans="1:9" ht="15" customHeight="1" x14ac:dyDescent="0.25">
      <c r="A90" s="119" t="s">
        <v>339</v>
      </c>
      <c r="B90" s="404" t="s">
        <v>206</v>
      </c>
      <c r="C90" s="404"/>
      <c r="D90" s="404"/>
      <c r="E90" s="404"/>
      <c r="F90" s="404"/>
      <c r="G90" s="404"/>
      <c r="H90" s="404"/>
      <c r="I90" s="404"/>
    </row>
    <row r="91" spans="1:9" ht="45" x14ac:dyDescent="0.25">
      <c r="A91" s="80" t="s">
        <v>340</v>
      </c>
      <c r="B91" s="43">
        <v>83659</v>
      </c>
      <c r="C91" s="44" t="s">
        <v>599</v>
      </c>
      <c r="D91" s="64" t="s">
        <v>194</v>
      </c>
      <c r="E91" s="117"/>
      <c r="F91" s="95"/>
      <c r="G91" s="95"/>
      <c r="H91" s="95"/>
      <c r="I91" s="99">
        <f>E91</f>
        <v>0</v>
      </c>
    </row>
    <row r="92" spans="1:9" ht="90" customHeight="1" x14ac:dyDescent="0.25">
      <c r="A92" s="384" t="s">
        <v>596</v>
      </c>
      <c r="B92" s="384"/>
      <c r="C92" s="384"/>
      <c r="D92" s="384"/>
      <c r="E92" s="384"/>
      <c r="F92" s="384"/>
      <c r="G92" s="384"/>
      <c r="H92" s="384"/>
      <c r="I92" s="384"/>
    </row>
    <row r="93" spans="1:9" ht="15" customHeight="1" x14ac:dyDescent="0.25">
      <c r="A93" s="110"/>
      <c r="B93" s="110"/>
      <c r="C93" s="110"/>
      <c r="D93" s="110"/>
      <c r="E93" s="110"/>
      <c r="F93" s="110"/>
      <c r="G93" s="110"/>
      <c r="H93" s="110"/>
      <c r="I93" s="110"/>
    </row>
  </sheetData>
  <sheetProtection password="F990" sheet="1" objects="1" scenarios="1"/>
  <mergeCells count="17">
    <mergeCell ref="B5:G5"/>
    <mergeCell ref="H5:H6"/>
    <mergeCell ref="B6:G6"/>
    <mergeCell ref="A1:I1"/>
    <mergeCell ref="A2:I2"/>
    <mergeCell ref="B3:G3"/>
    <mergeCell ref="H3:H4"/>
    <mergeCell ref="B4:G4"/>
    <mergeCell ref="A92:I92"/>
    <mergeCell ref="B78:I78"/>
    <mergeCell ref="B90:I90"/>
    <mergeCell ref="B8:I8"/>
    <mergeCell ref="B17:I17"/>
    <mergeCell ref="B34:I34"/>
    <mergeCell ref="B39:I39"/>
    <mergeCell ref="B56:I56"/>
    <mergeCell ref="B71:I71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9</vt:i4>
      </vt:variant>
    </vt:vector>
  </HeadingPairs>
  <TitlesOfParts>
    <vt:vector size="26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'9 - Calçadas'!Area_de_impressao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2018-03-09T13:46:05Z</cp:lastPrinted>
  <dcterms:created xsi:type="dcterms:W3CDTF">2017-11-29T16:17:07Z</dcterms:created>
  <dcterms:modified xsi:type="dcterms:W3CDTF">2018-03-13T14:48:45Z</dcterms:modified>
</cp:coreProperties>
</file>